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0" yWindow="8685" windowWidth="9570" windowHeight="2085" tabRatio="602" activeTab="0"/>
  </bookViews>
  <sheets>
    <sheet name="исполнения тар смет.за2016г" sheetId="1" r:id="rId1"/>
  </sheets>
  <externalReferences>
    <externalReference r:id="rId4"/>
  </externalReferences>
  <definedNames>
    <definedName name="_xlnm.Print_Area" localSheetId="0">'исполнения тар смет.за2016г'!$A$1:$H$161</definedName>
  </definedNames>
  <calcPr fullCalcOnLoad="1"/>
</workbook>
</file>

<file path=xl/sharedStrings.xml><?xml version="1.0" encoding="utf-8"?>
<sst xmlns="http://schemas.openxmlformats.org/spreadsheetml/2006/main" count="334" uniqueCount="207">
  <si>
    <t>подряд</t>
  </si>
  <si>
    <t>Наименование показателей</t>
  </si>
  <si>
    <t>Материальные затраты, всего</t>
  </si>
  <si>
    <t xml:space="preserve">Затраты на оплату труда, в том числе </t>
  </si>
  <si>
    <t>заработная плата</t>
  </si>
  <si>
    <t>социальный налог</t>
  </si>
  <si>
    <t>Ремонт, всего</t>
  </si>
  <si>
    <t>водоснабжение и канализация</t>
  </si>
  <si>
    <t>отопление и г/вс</t>
  </si>
  <si>
    <t>5*5</t>
  </si>
  <si>
    <t>услуги охраны труда и тех.безопасности</t>
  </si>
  <si>
    <t>командировочные расходы</t>
  </si>
  <si>
    <t>техосмотр автотранспорта</t>
  </si>
  <si>
    <t>привлечение автотранспорта</t>
  </si>
  <si>
    <t>II.</t>
  </si>
  <si>
    <t>социальное страхование</t>
  </si>
  <si>
    <t>типографские</t>
  </si>
  <si>
    <t>III</t>
  </si>
  <si>
    <t>тыс.кВт.ч</t>
  </si>
  <si>
    <t>материалы</t>
  </si>
  <si>
    <t>гсм</t>
  </si>
  <si>
    <t>YII</t>
  </si>
  <si>
    <t>YIII</t>
  </si>
  <si>
    <t>IX</t>
  </si>
  <si>
    <t xml:space="preserve"> повторное подключение</t>
  </si>
  <si>
    <t>Обьем оказываемых услуг реализации</t>
  </si>
  <si>
    <t>Тариф за 1квтч без НДС</t>
  </si>
  <si>
    <t>%</t>
  </si>
  <si>
    <t>тыс.тенге</t>
  </si>
  <si>
    <t>в том числе:</t>
  </si>
  <si>
    <t>тенге</t>
  </si>
  <si>
    <t>1.</t>
  </si>
  <si>
    <t>1*3</t>
  </si>
  <si>
    <t>1*4</t>
  </si>
  <si>
    <t>2.</t>
  </si>
  <si>
    <t>2*1</t>
  </si>
  <si>
    <t>2*2</t>
  </si>
  <si>
    <t>2*3</t>
  </si>
  <si>
    <t>дезобработка</t>
  </si>
  <si>
    <t>3.</t>
  </si>
  <si>
    <t>Амортизация</t>
  </si>
  <si>
    <t>4.</t>
  </si>
  <si>
    <t>ГСМ</t>
  </si>
  <si>
    <t>5.</t>
  </si>
  <si>
    <t>5*1</t>
  </si>
  <si>
    <t>5*2</t>
  </si>
  <si>
    <t>5*3</t>
  </si>
  <si>
    <t>6.</t>
  </si>
  <si>
    <t>6*1</t>
  </si>
  <si>
    <t>6*3</t>
  </si>
  <si>
    <t>экология</t>
  </si>
  <si>
    <t>топливо</t>
  </si>
  <si>
    <t>услуги связи</t>
  </si>
  <si>
    <t>командировочные</t>
  </si>
  <si>
    <t>сырье и материалы</t>
  </si>
  <si>
    <t>вневедомственная охрана</t>
  </si>
  <si>
    <t>госэнергоэкспертиза</t>
  </si>
  <si>
    <t>арендная плата</t>
  </si>
  <si>
    <t>услуги банка</t>
  </si>
  <si>
    <t>1*2</t>
  </si>
  <si>
    <t>5*4</t>
  </si>
  <si>
    <t>социальное страхования</t>
  </si>
  <si>
    <t>доплаты за спм</t>
  </si>
  <si>
    <t>э/энергия на прожиг</t>
  </si>
  <si>
    <t>I.</t>
  </si>
  <si>
    <t>Прочие доходы и расходы не входящие в  исполнение тарифной сметы:</t>
  </si>
  <si>
    <t>Итого по разделу II</t>
  </si>
  <si>
    <t>Общая прибыль(+) ( по разделу I и II)</t>
  </si>
  <si>
    <t>аренда помещении,</t>
  </si>
  <si>
    <t>аренда транспорта</t>
  </si>
  <si>
    <t>ремонт и испыт.трансформатора</t>
  </si>
  <si>
    <t>представительские расходы</t>
  </si>
  <si>
    <t xml:space="preserve">повышение квалификации </t>
  </si>
  <si>
    <t>налоговые платежи  и сборы</t>
  </si>
  <si>
    <t>реактивная мощность</t>
  </si>
  <si>
    <t>отчисление соц налога (от з/пл иной деятельности)</t>
  </si>
  <si>
    <t>Доходы</t>
  </si>
  <si>
    <t>Расходы</t>
  </si>
  <si>
    <t>Прибыль (+), убыток (-) по II разделу</t>
  </si>
  <si>
    <t>возмещение ущерба</t>
  </si>
  <si>
    <t>списание реал  основных средств</t>
  </si>
  <si>
    <t xml:space="preserve">техническое  обслуживание </t>
  </si>
  <si>
    <t>Замена и монтажа 1-ф и 2ф</t>
  </si>
  <si>
    <t>мат  на иную деятельность</t>
  </si>
  <si>
    <t>командировочные на иную деятельность</t>
  </si>
  <si>
    <t>Прочие затраты</t>
  </si>
  <si>
    <t>5*6</t>
  </si>
  <si>
    <t>5*7</t>
  </si>
  <si>
    <t>обязательные   виды страхования</t>
  </si>
  <si>
    <t>5*8</t>
  </si>
  <si>
    <t>Расходы периода,всего</t>
  </si>
  <si>
    <t>Общие и административные расходы,в.т.ч.</t>
  </si>
  <si>
    <t>Заработная плата администра.персонала</t>
  </si>
  <si>
    <t>Другие расходы всего в том числе</t>
  </si>
  <si>
    <t>канцелярские товары</t>
  </si>
  <si>
    <t>метрология</t>
  </si>
  <si>
    <t>почтовая связь</t>
  </si>
  <si>
    <t>публикация обьявлений</t>
  </si>
  <si>
    <t>техническая документация и экспертиза</t>
  </si>
  <si>
    <t>услуги (товары,работы) регистратора</t>
  </si>
  <si>
    <t>обеспечение программы</t>
  </si>
  <si>
    <t>IY</t>
  </si>
  <si>
    <t>Y</t>
  </si>
  <si>
    <t>ремонт и обслуживание оргтехники,расх мат .</t>
  </si>
  <si>
    <t>Прочие -проект.раб</t>
  </si>
  <si>
    <t>Испытание электрооборуд.</t>
  </si>
  <si>
    <t>возврат материалов</t>
  </si>
  <si>
    <t>автоуслуги (иной деят)груз  ар спец тех</t>
  </si>
  <si>
    <t>Услуги столярного цеха</t>
  </si>
  <si>
    <t>оплата аудиторских и юр. услуг</t>
  </si>
  <si>
    <t>Расходы по оформ.зем.уч.</t>
  </si>
  <si>
    <t>З/плата по изг. Металлоизд  иной деят</t>
  </si>
  <si>
    <t>Расходы по культ мероп</t>
  </si>
  <si>
    <t>об кас аппар</t>
  </si>
  <si>
    <t>ГСМ на иную деятельность</t>
  </si>
  <si>
    <t>Прочие ФОТ Дружба</t>
  </si>
  <si>
    <t xml:space="preserve">Прочие ФОТ </t>
  </si>
  <si>
    <t>отчисление соц налога ( иной деятельности)</t>
  </si>
  <si>
    <t>амортизация иная</t>
  </si>
  <si>
    <t>Строительно монтажные работы</t>
  </si>
  <si>
    <t>Гос пошлина ,пеня и штрафы</t>
  </si>
  <si>
    <t>доступ к пакету тендерной информации</t>
  </si>
  <si>
    <t>прочие услуги</t>
  </si>
  <si>
    <t>аренда земельного участка</t>
  </si>
  <si>
    <t xml:space="preserve"> от прочих реализации </t>
  </si>
  <si>
    <t>испытание защитных средств</t>
  </si>
  <si>
    <t>замена ввода 2 проводов и 4 проводов</t>
  </si>
  <si>
    <t>монтаж КТП 10/0,4 кВ</t>
  </si>
  <si>
    <t>доход по вознограждениям</t>
  </si>
  <si>
    <t>Услуги гео.геодезическая раб.иная</t>
  </si>
  <si>
    <t>обслуживание оборудования ведомост.подстан напр-ием 10/35/110Кв</t>
  </si>
  <si>
    <t>монтаж и испытание кабельной линии и воостнов</t>
  </si>
  <si>
    <t>Всего затрат на предоставление услуг</t>
  </si>
  <si>
    <t>за установку РЛНД-10кВ и подключение шлейфа</t>
  </si>
  <si>
    <t>№  п/п</t>
  </si>
  <si>
    <t>Единицы измерения</t>
  </si>
  <si>
    <t>абсолют    гр 6/гр 4</t>
  </si>
  <si>
    <t>благотворительн.помощь</t>
  </si>
  <si>
    <t>Взнос за участие в соревнование</t>
  </si>
  <si>
    <t>Доход от безвозмездно полученных активов</t>
  </si>
  <si>
    <t>Организация системы передачи данных АСКУЭ</t>
  </si>
  <si>
    <t>Канцелярские  и типографские товары иная</t>
  </si>
  <si>
    <t>командировочные  ЧСД</t>
  </si>
  <si>
    <t>ФОТ ЧСД</t>
  </si>
  <si>
    <t>ЗП иная</t>
  </si>
  <si>
    <t>соц.нал иная</t>
  </si>
  <si>
    <t>расходы по реал.прод.и оказ.усл</t>
  </si>
  <si>
    <t>Приложение 1
к Правилам утверждения
предельного уровня тарифов
(цен, ставок сборов) и тарифных
смет на регулируемые услуги
(товары, работы) субъектов
естественных монополий</t>
  </si>
  <si>
    <t>Форма, предназначенная для сбора административных данных</t>
  </si>
  <si>
    <t>Сведения об исполнении тарифной сметы на регулируемые услуги</t>
  </si>
  <si>
    <t>Индекс ИТС-1</t>
  </si>
  <si>
    <t>Периодичность: годовая</t>
  </si>
  <si>
    <t>Отчетный период 2016 г.</t>
  </si>
  <si>
    <t> </t>
  </si>
  <si>
    <t>М.П.</t>
  </si>
  <si>
    <t>Телефон : 23-33-46</t>
  </si>
  <si>
    <t>Адрес:  г.Талдыкорган ул Абылайхана 274</t>
  </si>
  <si>
    <t>Наименование организации : АО "ТАТЭК"</t>
  </si>
  <si>
    <t>Фамилия и телефон исполнителя: 23-33-46 вн 437</t>
  </si>
  <si>
    <t>Финансовый директор                                                Адамбекова Г.Е.</t>
  </si>
  <si>
    <t>покупные изделия(эл.энергия потери)</t>
  </si>
  <si>
    <t>1*5</t>
  </si>
  <si>
    <t>5*9</t>
  </si>
  <si>
    <t>6*2</t>
  </si>
  <si>
    <t>прочие расходы</t>
  </si>
  <si>
    <t>7*1</t>
  </si>
  <si>
    <t>7*2</t>
  </si>
  <si>
    <t>7*3</t>
  </si>
  <si>
    <t>7*4</t>
  </si>
  <si>
    <t>8*1</t>
  </si>
  <si>
    <t>8*2</t>
  </si>
  <si>
    <t>8*3</t>
  </si>
  <si>
    <t>8*4</t>
  </si>
  <si>
    <t>8*5</t>
  </si>
  <si>
    <t>8*6</t>
  </si>
  <si>
    <t>8*7</t>
  </si>
  <si>
    <t>8*8</t>
  </si>
  <si>
    <t>8*9</t>
  </si>
  <si>
    <t>8*10</t>
  </si>
  <si>
    <t>8*11</t>
  </si>
  <si>
    <t>8*12</t>
  </si>
  <si>
    <t>8*13</t>
  </si>
  <si>
    <t>8*14</t>
  </si>
  <si>
    <t>Доход (РБА*СП)</t>
  </si>
  <si>
    <t>Всего доход</t>
  </si>
  <si>
    <t>Предусмотрено в утвержденной тарифной смете</t>
  </si>
  <si>
    <t>Фактические сложившиеся показателей тарифной сметы</t>
  </si>
  <si>
    <t xml:space="preserve">   Причины отклонения</t>
  </si>
  <si>
    <r>
      <rPr>
        <b/>
        <sz val="14"/>
        <color indexed="8"/>
        <rFont val="Times New Roman"/>
        <family val="1"/>
      </rPr>
      <t>Куда представляется форма:</t>
    </r>
    <r>
      <rPr>
        <sz val="14"/>
        <color indexed="8"/>
        <rFont val="Times New Roman"/>
        <family val="1"/>
      </rPr>
      <t xml:space="preserve"> Комитет по регулированию естественных монополий и защите конкуренции Министерства национальной экономики Республики Казахстан</t>
    </r>
  </si>
  <si>
    <r>
      <rPr>
        <b/>
        <sz val="14"/>
        <color indexed="8"/>
        <rFont val="Times New Roman"/>
        <family val="1"/>
      </rPr>
      <t>Срок предоставления</t>
    </r>
    <r>
      <rPr>
        <sz val="14"/>
        <color indexed="8"/>
        <rFont val="Times New Roman"/>
        <family val="1"/>
      </rPr>
      <t xml:space="preserve"> - ежегодно не позднее 1 мая года, следующего за отчетным периодом</t>
    </r>
  </si>
  <si>
    <t>Регулируемая база задейственных активов (РБА)</t>
  </si>
  <si>
    <t>за счет списания спец одежды и защитных средств связи истечением срока носки, и непригодностью.</t>
  </si>
  <si>
    <t>за счет дополнительного привлечения автотранспорта для перевозки материалов.</t>
  </si>
  <si>
    <t>за счет выполнения дополнительных работ по выполнению аварийно-востановительных работ.</t>
  </si>
  <si>
    <t>по фактическим оказанным услугам.</t>
  </si>
  <si>
    <t>по фактическим расходом.</t>
  </si>
  <si>
    <t>в связи с увеличением объема работ.</t>
  </si>
  <si>
    <t>налоги начислены в соответствии с налоговыми законодательством.</t>
  </si>
  <si>
    <r>
      <t>нормативные потери</t>
    </r>
    <r>
      <rPr>
        <sz val="10"/>
        <rFont val="Times New Roman"/>
        <family val="1"/>
      </rPr>
      <t xml:space="preserve"> </t>
    </r>
  </si>
  <si>
    <t>Затраты на производство товаров и предоставление услуг, в том числе:</t>
  </si>
  <si>
    <t>отклонение в %</t>
  </si>
  <si>
    <r>
      <t>Адрес электронной почты :</t>
    </r>
    <r>
      <rPr>
        <u val="single"/>
        <sz val="14"/>
        <color indexed="8"/>
        <rFont val="Times New Roman"/>
        <family val="1"/>
      </rPr>
      <t xml:space="preserve"> tatek_peo@mail ru</t>
    </r>
  </si>
  <si>
    <t>Руководитель                                                               Демидов С.</t>
  </si>
  <si>
    <t>Членские взносы КЭА и спон.пом.на изготовл.знаков</t>
  </si>
  <si>
    <t>обязательные членские взносы НПП РК атамекен за 2015-2016 г</t>
  </si>
  <si>
    <t>ФОТ ЧСД соц нал.</t>
  </si>
  <si>
    <r>
      <rPr>
        <b/>
        <sz val="14"/>
        <color indexed="8"/>
        <rFont val="Times New Roman"/>
        <family val="1"/>
      </rPr>
      <t>Представляют:</t>
    </r>
    <r>
      <rPr>
        <sz val="14"/>
        <color indexed="8"/>
        <rFont val="Times New Roman"/>
        <family val="1"/>
      </rPr>
      <t xml:space="preserve"> АО "ТАТЭК"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</si>
</sst>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"/>
    <numFmt numFmtId="178" formatCode="0.000000"/>
    <numFmt numFmtId="179" formatCode="0.000000000"/>
    <numFmt numFmtId="180" formatCode="0.0000000000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11" borderId="0" xfId="0" applyFill="1" applyAlignment="1">
      <alignment/>
    </xf>
    <xf numFmtId="0" fontId="0" fillId="5" borderId="0" xfId="0" applyFill="1" applyAlignment="1">
      <alignment/>
    </xf>
    <xf numFmtId="0" fontId="0" fillId="16" borderId="0" xfId="0" applyFill="1" applyAlignment="1">
      <alignment/>
    </xf>
    <xf numFmtId="0" fontId="0" fillId="18" borderId="0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72" fontId="4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5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172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left"/>
    </xf>
    <xf numFmtId="186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left"/>
    </xf>
    <xf numFmtId="172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10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justify"/>
    </xf>
    <xf numFmtId="2" fontId="2" fillId="0" borderId="10" xfId="0" applyNumberFormat="1" applyFont="1" applyFill="1" applyBorder="1" applyAlignment="1">
      <alignment horizontal="center"/>
    </xf>
    <xf numFmtId="172" fontId="1" fillId="0" borderId="12" xfId="0" applyNumberFormat="1" applyFont="1" applyBorder="1" applyAlignment="1">
      <alignment horizontal="justify"/>
    </xf>
    <xf numFmtId="2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53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72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72" fontId="2" fillId="0" borderId="19" xfId="0" applyNumberFormat="1" applyFont="1" applyBorder="1" applyAlignment="1">
      <alignment vertical="center" wrapText="1"/>
    </xf>
    <xf numFmtId="1" fontId="10" fillId="0" borderId="15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86" fontId="1" fillId="0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72" fontId="4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72" fontId="4" fillId="3" borderId="1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186" fontId="0" fillId="0" borderId="0" xfId="0" applyNumberFormat="1" applyBorder="1" applyAlignment="1">
      <alignment/>
    </xf>
    <xf numFmtId="172" fontId="14" fillId="0" borderId="13" xfId="0" applyNumberFormat="1" applyFont="1" applyBorder="1" applyAlignment="1">
      <alignment horizontal="center"/>
    </xf>
    <xf numFmtId="186" fontId="55" fillId="0" borderId="10" xfId="0" applyNumberFormat="1" applyFont="1" applyBorder="1" applyAlignment="1">
      <alignment horizontal="center"/>
    </xf>
    <xf numFmtId="172" fontId="55" fillId="0" borderId="14" xfId="0" applyNumberFormat="1" applyFont="1" applyBorder="1" applyAlignment="1">
      <alignment vertical="justify" wrapText="1"/>
    </xf>
    <xf numFmtId="172" fontId="55" fillId="0" borderId="14" xfId="0" applyNumberFormat="1" applyFont="1" applyBorder="1" applyAlignment="1">
      <alignment wrapText="1"/>
    </xf>
    <xf numFmtId="172" fontId="55" fillId="0" borderId="14" xfId="0" applyNumberFormat="1" applyFont="1" applyBorder="1" applyAlignment="1">
      <alignment/>
    </xf>
    <xf numFmtId="186" fontId="56" fillId="0" borderId="10" xfId="0" applyNumberFormat="1" applyFont="1" applyBorder="1" applyAlignment="1">
      <alignment horizontal="center"/>
    </xf>
    <xf numFmtId="0" fontId="55" fillId="0" borderId="14" xfId="0" applyFont="1" applyBorder="1" applyAlignment="1">
      <alignment/>
    </xf>
    <xf numFmtId="186" fontId="56" fillId="0" borderId="10" xfId="0" applyNumberFormat="1" applyFont="1" applyBorder="1" applyAlignment="1">
      <alignment horizontal="center" vertical="center"/>
    </xf>
    <xf numFmtId="186" fontId="55" fillId="0" borderId="10" xfId="0" applyNumberFormat="1" applyFont="1" applyBorder="1" applyAlignment="1">
      <alignment horizontal="center" vertical="center"/>
    </xf>
    <xf numFmtId="172" fontId="55" fillId="0" borderId="14" xfId="0" applyNumberFormat="1" applyFont="1" applyBorder="1" applyAlignment="1">
      <alignment vertical="center" wrapText="1"/>
    </xf>
    <xf numFmtId="172" fontId="55" fillId="0" borderId="14" xfId="0" applyNumberFormat="1" applyFont="1" applyBorder="1" applyAlignment="1">
      <alignment horizontal="left"/>
    </xf>
    <xf numFmtId="172" fontId="55" fillId="0" borderId="10" xfId="0" applyNumberFormat="1" applyFont="1" applyBorder="1" applyAlignment="1">
      <alignment horizontal="center"/>
    </xf>
    <xf numFmtId="172" fontId="56" fillId="0" borderId="10" xfId="0" applyNumberFormat="1" applyFont="1" applyBorder="1" applyAlignment="1">
      <alignment horizontal="center"/>
    </xf>
    <xf numFmtId="172" fontId="55" fillId="0" borderId="14" xfId="0" applyNumberFormat="1" applyFont="1" applyBorder="1" applyAlignment="1">
      <alignment vertical="top" wrapText="1"/>
    </xf>
    <xf numFmtId="172" fontId="55" fillId="0" borderId="12" xfId="0" applyNumberFormat="1" applyFont="1" applyBorder="1" applyAlignment="1">
      <alignment horizontal="center"/>
    </xf>
    <xf numFmtId="172" fontId="56" fillId="0" borderId="12" xfId="0" applyNumberFormat="1" applyFont="1" applyBorder="1" applyAlignment="1">
      <alignment horizontal="center"/>
    </xf>
    <xf numFmtId="172" fontId="55" fillId="0" borderId="18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172" fontId="8" fillId="0" borderId="0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79;&#1072;&#1090;&#1088;&#1072;&#1090;%20&#1080;%20&#1080;&#1089;&#1087;&#1086;&#1083;&#1085;&#1077;&#1085;&#1080;&#1077;%20&#1090;&#1072;&#1088;&#1080;&#1092;&#1085;&#1086;&#1081;%20&#1089;&#1084;&#1077;&#1090;&#1099;%20&#1079;&#1072;%202016&#1075;&#1086;&#1076;%20&#1103;&#1085;&#1074;&#1072;&#1088;&#1100;-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тысбыт"/>
      <sheetName val="Лист1"/>
      <sheetName val="Лист4"/>
      <sheetName val="Лист3"/>
      <sheetName val="Лист8"/>
    </sheetNames>
    <sheetDataSet>
      <sheetData sheetId="1">
        <row r="1677">
          <cell r="AP1677">
            <v>0</v>
          </cell>
          <cell r="AQ1677">
            <v>0</v>
          </cell>
        </row>
        <row r="1701">
          <cell r="AP17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="75" zoomScaleNormal="75" zoomScaleSheetLayoutView="75" zoomScalePageLayoutView="0" workbookViewId="0" topLeftCell="A1">
      <selection activeCell="K59" sqref="K58:K59"/>
    </sheetView>
  </sheetViews>
  <sheetFormatPr defaultColWidth="9.00390625" defaultRowHeight="12.75"/>
  <cols>
    <col min="2" max="2" width="47.00390625" style="0" customWidth="1"/>
    <col min="3" max="3" width="11.375" style="0" customWidth="1"/>
    <col min="4" max="4" width="17.25390625" style="0" customWidth="1"/>
    <col min="5" max="5" width="14.375" style="0" customWidth="1"/>
    <col min="6" max="6" width="12.00390625" style="0" customWidth="1"/>
    <col min="7" max="7" width="15.75390625" style="0" customWidth="1"/>
    <col min="8" max="8" width="47.75390625" style="0" customWidth="1"/>
    <col min="9" max="9" width="14.625" style="0" customWidth="1"/>
    <col min="10" max="10" width="11.875" style="0" customWidth="1"/>
    <col min="14" max="14" width="12.125" style="0" bestFit="1" customWidth="1"/>
  </cols>
  <sheetData>
    <row r="1" spans="1:8" ht="126" customHeight="1">
      <c r="A1" s="45"/>
      <c r="B1" s="45"/>
      <c r="C1" s="45"/>
      <c r="D1" s="45"/>
      <c r="E1" s="45"/>
      <c r="F1" s="153" t="s">
        <v>147</v>
      </c>
      <c r="G1" s="153"/>
      <c r="H1" s="153"/>
    </row>
    <row r="2" spans="1:8" ht="22.5" customHeight="1">
      <c r="A2" s="154" t="s">
        <v>148</v>
      </c>
      <c r="B2" s="154"/>
      <c r="C2" s="154"/>
      <c r="D2" s="154"/>
      <c r="E2" s="154"/>
      <c r="F2" s="154"/>
      <c r="G2" s="154"/>
      <c r="H2" s="154"/>
    </row>
    <row r="3" spans="1:8" ht="21" customHeight="1">
      <c r="A3" s="154" t="s">
        <v>149</v>
      </c>
      <c r="B3" s="154"/>
      <c r="C3" s="154"/>
      <c r="D3" s="154"/>
      <c r="E3" s="154"/>
      <c r="F3" s="154"/>
      <c r="G3" s="154"/>
      <c r="H3" s="154"/>
    </row>
    <row r="4" spans="1:8" ht="21" customHeight="1">
      <c r="A4" s="98"/>
      <c r="B4" s="98"/>
      <c r="C4" s="98"/>
      <c r="D4" s="98"/>
      <c r="E4" s="98"/>
      <c r="F4" s="98"/>
      <c r="G4" s="98"/>
      <c r="H4" s="98"/>
    </row>
    <row r="5" spans="1:8" ht="22.5" customHeight="1">
      <c r="A5" s="155" t="s">
        <v>152</v>
      </c>
      <c r="B5" s="155"/>
      <c r="C5" s="155"/>
      <c r="D5" s="155"/>
      <c r="E5" s="155"/>
      <c r="F5" s="155"/>
      <c r="G5" s="155"/>
      <c r="H5" s="155"/>
    </row>
    <row r="6" spans="1:8" ht="22.5" customHeight="1">
      <c r="A6" s="99"/>
      <c r="B6" s="99"/>
      <c r="C6" s="99"/>
      <c r="D6" s="99"/>
      <c r="E6" s="99"/>
      <c r="F6" s="99"/>
      <c r="G6" s="99"/>
      <c r="H6" s="99"/>
    </row>
    <row r="7" spans="1:8" ht="20.25" customHeight="1">
      <c r="A7" s="154" t="s">
        <v>150</v>
      </c>
      <c r="B7" s="154"/>
      <c r="C7" s="154"/>
      <c r="D7" s="154"/>
      <c r="E7" s="154"/>
      <c r="F7" s="154"/>
      <c r="G7" s="154"/>
      <c r="H7" s="154"/>
    </row>
    <row r="8" spans="1:8" ht="20.25" customHeight="1">
      <c r="A8" s="154" t="s">
        <v>151</v>
      </c>
      <c r="B8" s="154"/>
      <c r="C8" s="154"/>
      <c r="D8" s="154"/>
      <c r="E8" s="154"/>
      <c r="F8" s="154"/>
      <c r="G8" s="154"/>
      <c r="H8" s="154"/>
    </row>
    <row r="9" spans="1:8" ht="20.25" customHeight="1">
      <c r="A9" s="146" t="s">
        <v>206</v>
      </c>
      <c r="B9" s="137"/>
      <c r="C9" s="137"/>
      <c r="D9" s="137"/>
      <c r="E9" s="137"/>
      <c r="F9" s="137"/>
      <c r="G9" s="137"/>
      <c r="H9" s="137"/>
    </row>
    <row r="10" spans="1:8" ht="37.5" customHeight="1">
      <c r="A10" s="158" t="s">
        <v>188</v>
      </c>
      <c r="B10" s="158"/>
      <c r="C10" s="158"/>
      <c r="D10" s="158"/>
      <c r="E10" s="158"/>
      <c r="F10" s="158"/>
      <c r="G10" s="158"/>
      <c r="H10" s="158"/>
    </row>
    <row r="11" spans="1:8" ht="21" customHeight="1">
      <c r="A11" s="137" t="s">
        <v>189</v>
      </c>
      <c r="B11" s="137"/>
      <c r="C11" s="137"/>
      <c r="D11" s="137"/>
      <c r="E11" s="137"/>
      <c r="F11" s="137"/>
      <c r="G11" s="137"/>
      <c r="H11" s="137"/>
    </row>
    <row r="12" spans="1:8" ht="16.5" thickBot="1">
      <c r="A12" s="138"/>
      <c r="B12" s="138"/>
      <c r="C12" s="138"/>
      <c r="D12" s="138"/>
      <c r="E12" s="138"/>
      <c r="F12" s="138"/>
      <c r="G12" s="138"/>
      <c r="H12" s="138"/>
    </row>
    <row r="13" spans="1:8" ht="32.25" customHeight="1">
      <c r="A13" s="139" t="s">
        <v>134</v>
      </c>
      <c r="B13" s="142" t="s">
        <v>1</v>
      </c>
      <c r="C13" s="145" t="s">
        <v>135</v>
      </c>
      <c r="D13" s="145" t="s">
        <v>185</v>
      </c>
      <c r="E13" s="145" t="s">
        <v>186</v>
      </c>
      <c r="F13" s="100"/>
      <c r="G13" s="145" t="s">
        <v>200</v>
      </c>
      <c r="H13" s="149" t="s">
        <v>187</v>
      </c>
    </row>
    <row r="14" spans="1:8" ht="12.75" customHeight="1">
      <c r="A14" s="140"/>
      <c r="B14" s="143"/>
      <c r="C14" s="131"/>
      <c r="D14" s="131"/>
      <c r="E14" s="131"/>
      <c r="F14" s="131" t="s">
        <v>136</v>
      </c>
      <c r="G14" s="131"/>
      <c r="H14" s="150"/>
    </row>
    <row r="15" spans="1:8" ht="12.75" customHeight="1">
      <c r="A15" s="140"/>
      <c r="B15" s="143"/>
      <c r="C15" s="131"/>
      <c r="D15" s="131"/>
      <c r="E15" s="131"/>
      <c r="F15" s="131"/>
      <c r="G15" s="131"/>
      <c r="H15" s="150"/>
    </row>
    <row r="16" spans="1:8" ht="8.25" customHeight="1" thickBot="1">
      <c r="A16" s="141"/>
      <c r="B16" s="144"/>
      <c r="C16" s="132"/>
      <c r="D16" s="132"/>
      <c r="E16" s="132"/>
      <c r="F16" s="132"/>
      <c r="G16" s="132"/>
      <c r="H16" s="151"/>
    </row>
    <row r="17" spans="1:8" ht="12.75">
      <c r="A17" s="101">
        <v>1</v>
      </c>
      <c r="B17" s="102">
        <v>2</v>
      </c>
      <c r="C17" s="102">
        <v>3</v>
      </c>
      <c r="D17" s="102">
        <v>4</v>
      </c>
      <c r="E17" s="102">
        <v>5</v>
      </c>
      <c r="F17" s="102">
        <v>7</v>
      </c>
      <c r="G17" s="102">
        <v>6</v>
      </c>
      <c r="H17" s="103">
        <v>7</v>
      </c>
    </row>
    <row r="18" spans="1:8" ht="34.5" customHeight="1">
      <c r="A18" s="140" t="s">
        <v>64</v>
      </c>
      <c r="B18" s="148" t="s">
        <v>199</v>
      </c>
      <c r="C18" s="152" t="s">
        <v>28</v>
      </c>
      <c r="D18" s="162">
        <f>D20+D27+D31+D32+D39</f>
        <v>3101274.3000000003</v>
      </c>
      <c r="E18" s="162">
        <f>E20+E27+E31+E32+E39</f>
        <v>3114155.3000000003</v>
      </c>
      <c r="F18" s="91">
        <f>F20+F27+F31+F32+F39</f>
        <v>12881.000000000124</v>
      </c>
      <c r="G18" s="161">
        <f aca="true" t="shared" si="0" ref="G18:G36">E18/D18*100</f>
        <v>100.41534539527832</v>
      </c>
      <c r="H18" s="163"/>
    </row>
    <row r="19" spans="1:8" ht="3" customHeight="1">
      <c r="A19" s="140"/>
      <c r="B19" s="148"/>
      <c r="C19" s="152"/>
      <c r="D19" s="162"/>
      <c r="E19" s="162"/>
      <c r="F19" s="92"/>
      <c r="G19" s="161"/>
      <c r="H19" s="163"/>
    </row>
    <row r="20" spans="1:8" ht="12.75">
      <c r="A20" s="47" t="s">
        <v>31</v>
      </c>
      <c r="B20" s="51" t="s">
        <v>2</v>
      </c>
      <c r="C20" s="48" t="s">
        <v>28</v>
      </c>
      <c r="D20" s="52">
        <f>SUM(D22:D25)</f>
        <v>1107769.2000000002</v>
      </c>
      <c r="E20" s="52">
        <f>SUM(E22:E25)</f>
        <v>1085572.1</v>
      </c>
      <c r="F20" s="53">
        <f>E20-D20</f>
        <v>-22197.100000000093</v>
      </c>
      <c r="G20" s="49">
        <f t="shared" si="0"/>
        <v>97.99623423362917</v>
      </c>
      <c r="H20" s="50"/>
    </row>
    <row r="21" spans="1:8" ht="12.75">
      <c r="A21" s="47"/>
      <c r="B21" s="51" t="s">
        <v>29</v>
      </c>
      <c r="C21" s="48"/>
      <c r="D21" s="54"/>
      <c r="E21" s="54"/>
      <c r="F21" s="49"/>
      <c r="G21" s="49"/>
      <c r="H21" s="50"/>
    </row>
    <row r="22" spans="1:8" ht="12.75">
      <c r="A22" s="47" t="s">
        <v>59</v>
      </c>
      <c r="B22" s="55" t="s">
        <v>54</v>
      </c>
      <c r="C22" s="48" t="s">
        <v>28</v>
      </c>
      <c r="D22" s="54">
        <v>21330.1</v>
      </c>
      <c r="E22" s="54">
        <f>38301.1-16900+98.2+5.5+0.1</f>
        <v>21504.899999999998</v>
      </c>
      <c r="F22" s="115">
        <f>E22-D22</f>
        <v>174.79999999999927</v>
      </c>
      <c r="G22" s="115">
        <f t="shared" si="0"/>
        <v>100.81949920534832</v>
      </c>
      <c r="H22" s="116"/>
    </row>
    <row r="23" spans="1:8" ht="12.75">
      <c r="A23" s="47" t="s">
        <v>32</v>
      </c>
      <c r="B23" s="55" t="s">
        <v>160</v>
      </c>
      <c r="C23" s="48"/>
      <c r="D23" s="54">
        <v>1031950.5</v>
      </c>
      <c r="E23" s="54">
        <v>1009578</v>
      </c>
      <c r="F23" s="115">
        <f>E23-D23</f>
        <v>-22372.5</v>
      </c>
      <c r="G23" s="115">
        <f>E23/D23*100</f>
        <v>97.8320181055196</v>
      </c>
      <c r="H23" s="116"/>
    </row>
    <row r="24" spans="1:8" ht="12.75">
      <c r="A24" s="47" t="s">
        <v>33</v>
      </c>
      <c r="B24" s="56" t="s">
        <v>42</v>
      </c>
      <c r="C24" s="48" t="s">
        <v>28</v>
      </c>
      <c r="D24" s="54">
        <v>47964.8</v>
      </c>
      <c r="E24" s="54">
        <f>52242.4-4277</f>
        <v>47965.4</v>
      </c>
      <c r="F24" s="115">
        <f>E24-D24</f>
        <v>0.5999999999985448</v>
      </c>
      <c r="G24" s="115">
        <f>E24/D24*100</f>
        <v>100.00125091733938</v>
      </c>
      <c r="H24" s="116"/>
    </row>
    <row r="25" spans="1:8" ht="12.75">
      <c r="A25" s="47" t="s">
        <v>161</v>
      </c>
      <c r="B25" s="55" t="s">
        <v>51</v>
      </c>
      <c r="C25" s="48" t="s">
        <v>28</v>
      </c>
      <c r="D25" s="54">
        <v>6523.8</v>
      </c>
      <c r="E25" s="54">
        <f>5188.6+385.7+135+500+314.5</f>
        <v>6523.8</v>
      </c>
      <c r="F25" s="115">
        <f>E25-D25</f>
        <v>0</v>
      </c>
      <c r="G25" s="115">
        <f t="shared" si="0"/>
        <v>100</v>
      </c>
      <c r="H25" s="117"/>
    </row>
    <row r="26" spans="1:8" ht="12.75" hidden="1">
      <c r="A26" s="47"/>
      <c r="B26" s="55"/>
      <c r="C26" s="48"/>
      <c r="D26" s="49"/>
      <c r="E26" s="49"/>
      <c r="F26" s="115">
        <f>E26-D26</f>
        <v>0</v>
      </c>
      <c r="G26" s="115" t="e">
        <f t="shared" si="0"/>
        <v>#DIV/0!</v>
      </c>
      <c r="H26" s="118"/>
    </row>
    <row r="27" spans="1:8" ht="12.75">
      <c r="A27" s="47" t="s">
        <v>34</v>
      </c>
      <c r="B27" s="57" t="s">
        <v>3</v>
      </c>
      <c r="C27" s="48" t="s">
        <v>28</v>
      </c>
      <c r="D27" s="52">
        <f>D28+D29</f>
        <v>1186762.2</v>
      </c>
      <c r="E27" s="52">
        <f>E28+E29</f>
        <v>1197629.3</v>
      </c>
      <c r="F27" s="119">
        <f>F28+F29+F30</f>
        <v>10867.10000000018</v>
      </c>
      <c r="G27" s="115">
        <f t="shared" si="0"/>
        <v>100.91569313549084</v>
      </c>
      <c r="H27" s="120"/>
    </row>
    <row r="28" spans="1:8" ht="12.75">
      <c r="A28" s="47" t="s">
        <v>35</v>
      </c>
      <c r="B28" s="55" t="s">
        <v>4</v>
      </c>
      <c r="C28" s="48" t="s">
        <v>28</v>
      </c>
      <c r="D28" s="54">
        <v>1079856.4</v>
      </c>
      <c r="E28" s="54">
        <f>1101269.4-21413+9838.1+50.1</f>
        <v>1089744.6</v>
      </c>
      <c r="F28" s="115">
        <f aca="true" t="shared" si="1" ref="F28:F86">E28-D28</f>
        <v>9888.200000000186</v>
      </c>
      <c r="G28" s="115">
        <f t="shared" si="0"/>
        <v>100.91569582770452</v>
      </c>
      <c r="H28" s="118"/>
    </row>
    <row r="29" spans="1:8" ht="12.75">
      <c r="A29" s="47" t="s">
        <v>36</v>
      </c>
      <c r="B29" s="55" t="s">
        <v>5</v>
      </c>
      <c r="C29" s="48" t="s">
        <v>28</v>
      </c>
      <c r="D29" s="54">
        <v>106905.8</v>
      </c>
      <c r="E29" s="54">
        <f>103069+3836.8+1153.4-174.5</f>
        <v>107884.7</v>
      </c>
      <c r="F29" s="115">
        <f t="shared" si="1"/>
        <v>978.8999999999942</v>
      </c>
      <c r="G29" s="115">
        <f t="shared" si="0"/>
        <v>100.91566594141759</v>
      </c>
      <c r="H29" s="118"/>
    </row>
    <row r="30" spans="1:8" ht="12.75" hidden="1">
      <c r="A30" s="47" t="s">
        <v>37</v>
      </c>
      <c r="B30" s="55" t="s">
        <v>15</v>
      </c>
      <c r="C30" s="48" t="s">
        <v>28</v>
      </c>
      <c r="D30" s="54">
        <f>'[1]Лист1'!AP1677</f>
        <v>0</v>
      </c>
      <c r="E30" s="54">
        <f>'[1]Лист1'!AQ1677</f>
        <v>0</v>
      </c>
      <c r="F30" s="115">
        <f t="shared" si="1"/>
        <v>0</v>
      </c>
      <c r="G30" s="115" t="e">
        <f t="shared" si="0"/>
        <v>#DIV/0!</v>
      </c>
      <c r="H30" s="118"/>
    </row>
    <row r="31" spans="1:8" ht="12.75">
      <c r="A31" s="47" t="s">
        <v>39</v>
      </c>
      <c r="B31" s="57" t="s">
        <v>40</v>
      </c>
      <c r="C31" s="48" t="s">
        <v>28</v>
      </c>
      <c r="D31" s="52">
        <v>507570</v>
      </c>
      <c r="E31" s="52">
        <v>507570</v>
      </c>
      <c r="F31" s="119">
        <f t="shared" si="1"/>
        <v>0</v>
      </c>
      <c r="G31" s="115">
        <f t="shared" si="0"/>
        <v>100</v>
      </c>
      <c r="H31" s="116"/>
    </row>
    <row r="32" spans="1:16" s="95" customFormat="1" ht="51.75" customHeight="1">
      <c r="A32" s="46" t="s">
        <v>41</v>
      </c>
      <c r="B32" s="96" t="s">
        <v>6</v>
      </c>
      <c r="C32" s="90" t="s">
        <v>28</v>
      </c>
      <c r="D32" s="91">
        <f>SUM(D33:D38)</f>
        <v>256098.00000000003</v>
      </c>
      <c r="E32" s="91">
        <f>SUM(E33:E36)</f>
        <v>278711.00000000006</v>
      </c>
      <c r="F32" s="121">
        <f t="shared" si="1"/>
        <v>22613.00000000003</v>
      </c>
      <c r="G32" s="122">
        <f t="shared" si="0"/>
        <v>108.82982295839876</v>
      </c>
      <c r="H32" s="123" t="s">
        <v>193</v>
      </c>
      <c r="I32"/>
      <c r="J32"/>
      <c r="K32"/>
      <c r="L32"/>
      <c r="M32"/>
      <c r="N32"/>
      <c r="O32"/>
      <c r="P32"/>
    </row>
    <row r="33" spans="1:8" ht="13.5">
      <c r="A33" s="114"/>
      <c r="B33" s="55" t="s">
        <v>53</v>
      </c>
      <c r="C33" s="48" t="s">
        <v>28</v>
      </c>
      <c r="D33" s="54">
        <v>15550.6</v>
      </c>
      <c r="E33" s="54">
        <f>13884+1666+1177.9</f>
        <v>16727.9</v>
      </c>
      <c r="F33" s="115">
        <f t="shared" si="1"/>
        <v>1177.300000000001</v>
      </c>
      <c r="G33" s="115">
        <f t="shared" si="0"/>
        <v>107.57076897354443</v>
      </c>
      <c r="H33" s="118"/>
    </row>
    <row r="34" spans="1:8" ht="13.5">
      <c r="A34" s="114"/>
      <c r="B34" s="55" t="s">
        <v>19</v>
      </c>
      <c r="C34" s="48" t="s">
        <v>28</v>
      </c>
      <c r="D34" s="54">
        <v>198711.6</v>
      </c>
      <c r="E34" s="54">
        <f>187503.2+16900+1600+3435+3750-147.5-314.5-140+57-0.9-2.8-0.8-111.8-17.7+515.5+1.7-0.3-17</f>
        <v>213009.10000000006</v>
      </c>
      <c r="F34" s="115">
        <f t="shared" si="1"/>
        <v>14297.500000000058</v>
      </c>
      <c r="G34" s="115">
        <f t="shared" si="0"/>
        <v>107.1951008396088</v>
      </c>
      <c r="H34" s="116"/>
    </row>
    <row r="35" spans="1:8" ht="13.5">
      <c r="A35" s="114"/>
      <c r="B35" s="55" t="s">
        <v>20</v>
      </c>
      <c r="C35" s="48" t="s">
        <v>28</v>
      </c>
      <c r="D35" s="54">
        <v>26773.6</v>
      </c>
      <c r="E35" s="54">
        <f>19160.2+4277-500</f>
        <v>22937.2</v>
      </c>
      <c r="F35" s="115">
        <f t="shared" si="1"/>
        <v>-3836.399999999998</v>
      </c>
      <c r="G35" s="115">
        <f t="shared" si="0"/>
        <v>85.6709594525951</v>
      </c>
      <c r="H35" s="118"/>
    </row>
    <row r="36" spans="1:8" ht="15" customHeight="1">
      <c r="A36" s="114"/>
      <c r="B36" s="55" t="s">
        <v>0</v>
      </c>
      <c r="C36" s="48" t="s">
        <v>28</v>
      </c>
      <c r="D36" s="54">
        <v>11124</v>
      </c>
      <c r="E36" s="54">
        <f>23538.8+3063.6-48.4-515.5-1.7</f>
        <v>26036.799999999996</v>
      </c>
      <c r="F36" s="115">
        <f t="shared" si="1"/>
        <v>14912.799999999996</v>
      </c>
      <c r="G36" s="115">
        <f t="shared" si="0"/>
        <v>234.05969075871985</v>
      </c>
      <c r="H36" s="118"/>
    </row>
    <row r="37" spans="1:8" ht="13.5">
      <c r="A37" s="114"/>
      <c r="B37" s="55" t="s">
        <v>63</v>
      </c>
      <c r="C37" s="48" t="s">
        <v>28</v>
      </c>
      <c r="D37" s="54">
        <v>21.6</v>
      </c>
      <c r="E37" s="54">
        <v>0</v>
      </c>
      <c r="F37" s="115">
        <f t="shared" si="1"/>
        <v>-21.6</v>
      </c>
      <c r="G37" s="115">
        <f>E37/D37*100</f>
        <v>0</v>
      </c>
      <c r="H37" s="118"/>
    </row>
    <row r="38" spans="1:8" ht="13.5">
      <c r="A38" s="114"/>
      <c r="B38" s="55" t="s">
        <v>106</v>
      </c>
      <c r="C38" s="48" t="s">
        <v>28</v>
      </c>
      <c r="D38" s="54">
        <v>3916.6</v>
      </c>
      <c r="E38" s="54">
        <v>0</v>
      </c>
      <c r="F38" s="115">
        <f t="shared" si="1"/>
        <v>-3916.6</v>
      </c>
      <c r="G38" s="115">
        <f>E38/D38*100</f>
        <v>0</v>
      </c>
      <c r="H38" s="118"/>
    </row>
    <row r="39" spans="1:8" ht="18.75" customHeight="1">
      <c r="A39" s="47" t="s">
        <v>43</v>
      </c>
      <c r="B39" s="57" t="s">
        <v>85</v>
      </c>
      <c r="C39" s="48" t="s">
        <v>28</v>
      </c>
      <c r="D39" s="52">
        <f>SUM(D40:D48)</f>
        <v>43074.9</v>
      </c>
      <c r="E39" s="52">
        <f>SUM(E40:E48)</f>
        <v>44672.90000000001</v>
      </c>
      <c r="F39" s="119">
        <f>E39-D39</f>
        <v>1598.0000000000073</v>
      </c>
      <c r="G39" s="115">
        <f>E39/D39*100</f>
        <v>103.70981708605245</v>
      </c>
      <c r="H39" s="118"/>
    </row>
    <row r="40" spans="1:16" s="95" customFormat="1" ht="25.5">
      <c r="A40" s="46" t="s">
        <v>44</v>
      </c>
      <c r="B40" s="93" t="s">
        <v>13</v>
      </c>
      <c r="C40" s="90" t="s">
        <v>28</v>
      </c>
      <c r="D40" s="94">
        <v>973</v>
      </c>
      <c r="E40" s="94">
        <f>4036.6-3063.6+48.4</f>
        <v>1021.4</v>
      </c>
      <c r="F40" s="122">
        <f>E40-D40</f>
        <v>48.39999999999998</v>
      </c>
      <c r="G40" s="122">
        <f aca="true" t="shared" si="2" ref="G40:G85">E40/D40*100</f>
        <v>104.97430626927029</v>
      </c>
      <c r="H40" s="123" t="s">
        <v>192</v>
      </c>
      <c r="I40"/>
      <c r="J40"/>
      <c r="K40"/>
      <c r="L40"/>
      <c r="M40"/>
      <c r="N40"/>
      <c r="O40"/>
      <c r="P40"/>
    </row>
    <row r="41" spans="1:16" s="95" customFormat="1" ht="25.5">
      <c r="A41" s="46" t="s">
        <v>45</v>
      </c>
      <c r="B41" s="93" t="s">
        <v>10</v>
      </c>
      <c r="C41" s="90" t="s">
        <v>28</v>
      </c>
      <c r="D41" s="94">
        <v>15199</v>
      </c>
      <c r="E41" s="94">
        <f>22944.2-1748-1600-200-3435</f>
        <v>15961.2</v>
      </c>
      <c r="F41" s="122">
        <f t="shared" si="1"/>
        <v>762.2000000000007</v>
      </c>
      <c r="G41" s="122">
        <f t="shared" si="2"/>
        <v>105.01480360550038</v>
      </c>
      <c r="H41" s="123" t="s">
        <v>191</v>
      </c>
      <c r="I41"/>
      <c r="J41"/>
      <c r="K41"/>
      <c r="L41"/>
      <c r="M41"/>
      <c r="N41"/>
      <c r="O41"/>
      <c r="P41"/>
    </row>
    <row r="42" spans="1:8" ht="12.75">
      <c r="A42" s="47" t="s">
        <v>46</v>
      </c>
      <c r="B42" s="55" t="s">
        <v>7</v>
      </c>
      <c r="C42" s="48" t="s">
        <v>28</v>
      </c>
      <c r="D42" s="54">
        <v>2959.8</v>
      </c>
      <c r="E42" s="54">
        <f>2617.2+200+140+0.3</f>
        <v>2957.5</v>
      </c>
      <c r="F42" s="115">
        <f t="shared" si="1"/>
        <v>-2.300000000000182</v>
      </c>
      <c r="G42" s="115">
        <f t="shared" si="2"/>
        <v>99.9222920467599</v>
      </c>
      <c r="H42" s="118" t="s">
        <v>194</v>
      </c>
    </row>
    <row r="43" spans="1:8" ht="12.75">
      <c r="A43" s="47" t="s">
        <v>60</v>
      </c>
      <c r="B43" s="55" t="s">
        <v>8</v>
      </c>
      <c r="C43" s="48" t="s">
        <v>28</v>
      </c>
      <c r="D43" s="54">
        <v>276</v>
      </c>
      <c r="E43" s="54">
        <f>772.4-496+2.8</f>
        <v>279.2</v>
      </c>
      <c r="F43" s="115">
        <f t="shared" si="1"/>
        <v>3.1999999999999886</v>
      </c>
      <c r="G43" s="115">
        <f t="shared" si="2"/>
        <v>101.15942028985508</v>
      </c>
      <c r="H43" s="118"/>
    </row>
    <row r="44" spans="1:8" ht="12.75">
      <c r="A44" s="47" t="s">
        <v>9</v>
      </c>
      <c r="B44" s="55" t="s">
        <v>57</v>
      </c>
      <c r="C44" s="48" t="s">
        <v>28</v>
      </c>
      <c r="D44" s="54">
        <v>3000</v>
      </c>
      <c r="E44" s="54">
        <f>5811.6-2616.6-0.1</f>
        <v>3194.9000000000005</v>
      </c>
      <c r="F44" s="115">
        <f t="shared" si="1"/>
        <v>194.90000000000055</v>
      </c>
      <c r="G44" s="115">
        <f t="shared" si="2"/>
        <v>106.49666666666668</v>
      </c>
      <c r="H44" s="118" t="s">
        <v>194</v>
      </c>
    </row>
    <row r="45" spans="1:8" ht="12.75">
      <c r="A45" s="47" t="s">
        <v>86</v>
      </c>
      <c r="B45" s="55" t="s">
        <v>72</v>
      </c>
      <c r="C45" s="48" t="s">
        <v>28</v>
      </c>
      <c r="D45" s="54">
        <v>1764</v>
      </c>
      <c r="E45" s="54">
        <f>2040-200-57+10</f>
        <v>1793</v>
      </c>
      <c r="F45" s="115">
        <f t="shared" si="1"/>
        <v>29</v>
      </c>
      <c r="G45" s="115">
        <f t="shared" si="2"/>
        <v>101.64399092970523</v>
      </c>
      <c r="H45" s="118" t="s">
        <v>194</v>
      </c>
    </row>
    <row r="46" spans="1:8" ht="12.75">
      <c r="A46" s="47" t="s">
        <v>87</v>
      </c>
      <c r="B46" s="55" t="s">
        <v>88</v>
      </c>
      <c r="C46" s="48" t="s">
        <v>28</v>
      </c>
      <c r="D46" s="54">
        <v>8839.7</v>
      </c>
      <c r="E46" s="54">
        <f>14643.1-5360</f>
        <v>9283.1</v>
      </c>
      <c r="F46" s="115">
        <f t="shared" si="1"/>
        <v>443.39999999999964</v>
      </c>
      <c r="G46" s="115">
        <f t="shared" si="2"/>
        <v>105.01600733056551</v>
      </c>
      <c r="H46" s="118" t="s">
        <v>195</v>
      </c>
    </row>
    <row r="47" spans="1:8" ht="12.75">
      <c r="A47" s="47" t="s">
        <v>89</v>
      </c>
      <c r="B47" s="55" t="s">
        <v>38</v>
      </c>
      <c r="C47" s="48" t="s">
        <v>28</v>
      </c>
      <c r="D47" s="54">
        <v>245.4</v>
      </c>
      <c r="E47" s="54">
        <f>631.1-385.7+0.9</f>
        <v>246.30000000000004</v>
      </c>
      <c r="F47" s="115">
        <f t="shared" si="1"/>
        <v>0.9000000000000341</v>
      </c>
      <c r="G47" s="115">
        <f t="shared" si="2"/>
        <v>100.36674816625919</v>
      </c>
      <c r="H47" s="118"/>
    </row>
    <row r="48" spans="1:8" ht="12.75">
      <c r="A48" s="47" t="s">
        <v>162</v>
      </c>
      <c r="B48" s="55" t="s">
        <v>11</v>
      </c>
      <c r="C48" s="48" t="s">
        <v>28</v>
      </c>
      <c r="D48" s="54">
        <v>9818</v>
      </c>
      <c r="E48" s="54">
        <f>9936.3</f>
        <v>9936.3</v>
      </c>
      <c r="F48" s="115">
        <f t="shared" si="1"/>
        <v>118.29999999999927</v>
      </c>
      <c r="G48" s="115">
        <f t="shared" si="2"/>
        <v>101.20492972092075</v>
      </c>
      <c r="H48" s="118" t="s">
        <v>196</v>
      </c>
    </row>
    <row r="49" spans="1:8" ht="12.75">
      <c r="A49" s="47" t="s">
        <v>14</v>
      </c>
      <c r="B49" s="48" t="s">
        <v>90</v>
      </c>
      <c r="C49" s="48" t="s">
        <v>28</v>
      </c>
      <c r="D49" s="52">
        <f>D50</f>
        <v>321752.8</v>
      </c>
      <c r="E49" s="52">
        <f>E50</f>
        <v>321927.1</v>
      </c>
      <c r="F49" s="115">
        <f t="shared" si="1"/>
        <v>174.29999999998836</v>
      </c>
      <c r="G49" s="115">
        <f t="shared" si="2"/>
        <v>100.0541720227454</v>
      </c>
      <c r="H49" s="118"/>
    </row>
    <row r="50" spans="1:8" ht="12.75">
      <c r="A50" s="47" t="s">
        <v>47</v>
      </c>
      <c r="B50" s="48" t="s">
        <v>91</v>
      </c>
      <c r="C50" s="48" t="s">
        <v>28</v>
      </c>
      <c r="D50" s="52">
        <f>SUM(D51:D55)+D61</f>
        <v>321752.8</v>
      </c>
      <c r="E50" s="52">
        <f>SUM(E51:E55)+E61</f>
        <v>321927.1</v>
      </c>
      <c r="F50" s="115">
        <f t="shared" si="1"/>
        <v>174.29999999998836</v>
      </c>
      <c r="G50" s="115">
        <f t="shared" si="2"/>
        <v>100.0541720227454</v>
      </c>
      <c r="H50" s="118"/>
    </row>
    <row r="51" spans="1:8" ht="12.75">
      <c r="A51" s="74" t="s">
        <v>48</v>
      </c>
      <c r="B51" s="59" t="s">
        <v>92</v>
      </c>
      <c r="C51" s="48" t="s">
        <v>28</v>
      </c>
      <c r="D51" s="54">
        <v>222730.4</v>
      </c>
      <c r="E51" s="54">
        <f>245105.8-22375</f>
        <v>222730.8</v>
      </c>
      <c r="F51" s="115">
        <f>E51-D51</f>
        <v>0.39999999999417923</v>
      </c>
      <c r="G51" s="115">
        <f t="shared" si="2"/>
        <v>100.00017958931515</v>
      </c>
      <c r="H51" s="124"/>
    </row>
    <row r="52" spans="1:8" ht="12.75">
      <c r="A52" s="74" t="s">
        <v>163</v>
      </c>
      <c r="B52" s="59" t="s">
        <v>5</v>
      </c>
      <c r="C52" s="48" t="s">
        <v>28</v>
      </c>
      <c r="D52" s="54">
        <v>22050.3</v>
      </c>
      <c r="E52" s="54">
        <f>31628.4-3836.8-5741</f>
        <v>22050.600000000002</v>
      </c>
      <c r="F52" s="115">
        <f t="shared" si="1"/>
        <v>0.3000000000029104</v>
      </c>
      <c r="G52" s="115">
        <f t="shared" si="2"/>
        <v>100.00136052570714</v>
      </c>
      <c r="H52" s="124"/>
    </row>
    <row r="53" spans="1:8" ht="12.75" hidden="1">
      <c r="A53" s="74" t="s">
        <v>49</v>
      </c>
      <c r="B53" s="59" t="s">
        <v>61</v>
      </c>
      <c r="C53" s="48" t="s">
        <v>28</v>
      </c>
      <c r="D53" s="54">
        <f>'[1]Лист1'!AP1701</f>
        <v>0</v>
      </c>
      <c r="E53" s="54"/>
      <c r="F53" s="115">
        <f t="shared" si="1"/>
        <v>0</v>
      </c>
      <c r="G53" s="115"/>
      <c r="H53" s="118"/>
    </row>
    <row r="54" spans="1:8" ht="25.5">
      <c r="A54" s="89" t="s">
        <v>49</v>
      </c>
      <c r="B54" s="97" t="s">
        <v>73</v>
      </c>
      <c r="C54" s="90" t="s">
        <v>28</v>
      </c>
      <c r="D54" s="91">
        <v>27879.1</v>
      </c>
      <c r="E54" s="91">
        <f>27091.6+495</f>
        <v>27586.6</v>
      </c>
      <c r="F54" s="122">
        <f t="shared" si="1"/>
        <v>-292.5</v>
      </c>
      <c r="G54" s="122">
        <f t="shared" si="2"/>
        <v>98.95082696356769</v>
      </c>
      <c r="H54" s="123" t="s">
        <v>197</v>
      </c>
    </row>
    <row r="55" spans="1:8" ht="12.75">
      <c r="A55" s="74">
        <v>7</v>
      </c>
      <c r="B55" s="59" t="s">
        <v>164</v>
      </c>
      <c r="C55" s="48" t="s">
        <v>28</v>
      </c>
      <c r="D55" s="52">
        <f>D56+D57+D58+D59+D60</f>
        <v>27021.5</v>
      </c>
      <c r="E55" s="52">
        <f>E56+E57+E58+E59+E60</f>
        <v>27182.600000000002</v>
      </c>
      <c r="F55" s="115">
        <f>E55-D55</f>
        <v>161.10000000000218</v>
      </c>
      <c r="G55" s="115">
        <f>E55/D55*100</f>
        <v>100.59619192124791</v>
      </c>
      <c r="H55" s="123"/>
    </row>
    <row r="56" spans="1:8" ht="12.75">
      <c r="A56" s="74" t="s">
        <v>165</v>
      </c>
      <c r="B56" s="59" t="s">
        <v>11</v>
      </c>
      <c r="C56" s="48" t="s">
        <v>28</v>
      </c>
      <c r="D56" s="54">
        <v>10137</v>
      </c>
      <c r="E56" s="54">
        <f>13895.4-1666-2092.4</f>
        <v>10137</v>
      </c>
      <c r="F56" s="115">
        <f t="shared" si="1"/>
        <v>0</v>
      </c>
      <c r="G56" s="115">
        <f t="shared" si="2"/>
        <v>100</v>
      </c>
      <c r="H56" s="118"/>
    </row>
    <row r="57" spans="1:8" ht="12.75" hidden="1">
      <c r="A57" s="74"/>
      <c r="B57" s="59" t="s">
        <v>71</v>
      </c>
      <c r="C57" s="48" t="s">
        <v>28</v>
      </c>
      <c r="D57" s="54"/>
      <c r="E57" s="54"/>
      <c r="F57" s="115">
        <f t="shared" si="1"/>
        <v>0</v>
      </c>
      <c r="G57" s="115" t="e">
        <f t="shared" si="2"/>
        <v>#DIV/0!</v>
      </c>
      <c r="H57" s="118"/>
    </row>
    <row r="58" spans="1:8" ht="12.75">
      <c r="A58" s="74" t="s">
        <v>166</v>
      </c>
      <c r="B58" s="59" t="s">
        <v>52</v>
      </c>
      <c r="C58" s="48" t="s">
        <v>28</v>
      </c>
      <c r="D58" s="54">
        <v>10005.7</v>
      </c>
      <c r="E58" s="54">
        <v>10013.4</v>
      </c>
      <c r="F58" s="115">
        <f t="shared" si="1"/>
        <v>7.699999999998909</v>
      </c>
      <c r="G58" s="115">
        <f t="shared" si="2"/>
        <v>100.07695613500304</v>
      </c>
      <c r="H58" s="123"/>
    </row>
    <row r="59" spans="1:8" ht="12.75">
      <c r="A59" s="74" t="s">
        <v>167</v>
      </c>
      <c r="B59" s="59" t="s">
        <v>109</v>
      </c>
      <c r="C59" s="48" t="s">
        <v>28</v>
      </c>
      <c r="D59" s="54">
        <v>3119.5</v>
      </c>
      <c r="E59" s="54">
        <f>3873.4-100-495-5.5</f>
        <v>3272.9</v>
      </c>
      <c r="F59" s="115">
        <f t="shared" si="1"/>
        <v>153.4000000000001</v>
      </c>
      <c r="G59" s="115">
        <f t="shared" si="2"/>
        <v>104.91745472030773</v>
      </c>
      <c r="H59" s="118" t="s">
        <v>194</v>
      </c>
    </row>
    <row r="60" spans="1:8" ht="12.75">
      <c r="A60" s="74" t="s">
        <v>168</v>
      </c>
      <c r="B60" s="59" t="s">
        <v>58</v>
      </c>
      <c r="C60" s="48" t="s">
        <v>28</v>
      </c>
      <c r="D60" s="54">
        <v>3759.3</v>
      </c>
      <c r="E60" s="54">
        <f>3212.2+299.6+100+147.5</f>
        <v>3759.2999999999997</v>
      </c>
      <c r="F60" s="115">
        <f t="shared" si="1"/>
        <v>0</v>
      </c>
      <c r="G60" s="115">
        <f t="shared" si="2"/>
        <v>99.99999999999999</v>
      </c>
      <c r="H60" s="118"/>
    </row>
    <row r="61" spans="1:8" ht="12.75">
      <c r="A61" s="47">
        <v>8</v>
      </c>
      <c r="B61" s="51" t="s">
        <v>93</v>
      </c>
      <c r="C61" s="48" t="s">
        <v>28</v>
      </c>
      <c r="D61" s="53">
        <f>SUM(D62:D75)</f>
        <v>22071.499999999996</v>
      </c>
      <c r="E61" s="53">
        <f>SUM(E62:E75)</f>
        <v>22376.500000000004</v>
      </c>
      <c r="F61" s="119">
        <f t="shared" si="1"/>
        <v>305.0000000000073</v>
      </c>
      <c r="G61" s="119">
        <f t="shared" si="2"/>
        <v>101.38187255057429</v>
      </c>
      <c r="H61" s="118"/>
    </row>
    <row r="62" spans="1:8" ht="12.75">
      <c r="A62" s="47" t="s">
        <v>169</v>
      </c>
      <c r="B62" s="59" t="s">
        <v>55</v>
      </c>
      <c r="C62" s="48" t="s">
        <v>28</v>
      </c>
      <c r="D62" s="54">
        <v>7212.9</v>
      </c>
      <c r="E62" s="54">
        <f>5464.7+1748+0.1+3.6</f>
        <v>7216.400000000001</v>
      </c>
      <c r="F62" s="115">
        <f t="shared" si="1"/>
        <v>3.5000000000009095</v>
      </c>
      <c r="G62" s="115">
        <f t="shared" si="2"/>
        <v>100.04852417196967</v>
      </c>
      <c r="H62" s="118"/>
    </row>
    <row r="63" spans="1:8" ht="12.75">
      <c r="A63" s="47" t="s">
        <v>170</v>
      </c>
      <c r="B63" s="59" t="s">
        <v>56</v>
      </c>
      <c r="C63" s="48" t="s">
        <v>28</v>
      </c>
      <c r="D63" s="54">
        <v>4440</v>
      </c>
      <c r="E63" s="54">
        <f>4972.8-532.8+111.8</f>
        <v>4551.8</v>
      </c>
      <c r="F63" s="115">
        <f t="shared" si="1"/>
        <v>111.80000000000018</v>
      </c>
      <c r="G63" s="115">
        <f t="shared" si="2"/>
        <v>102.51801801801803</v>
      </c>
      <c r="H63" s="118"/>
    </row>
    <row r="64" spans="1:8" ht="12.75">
      <c r="A64" s="47" t="s">
        <v>171</v>
      </c>
      <c r="B64" s="59" t="s">
        <v>94</v>
      </c>
      <c r="C64" s="48" t="s">
        <v>28</v>
      </c>
      <c r="D64" s="54">
        <v>2000</v>
      </c>
      <c r="E64" s="54">
        <f>2654.9-640</f>
        <v>2014.9</v>
      </c>
      <c r="F64" s="115">
        <f t="shared" si="1"/>
        <v>14.900000000000091</v>
      </c>
      <c r="G64" s="115">
        <f t="shared" si="2"/>
        <v>100.74499999999999</v>
      </c>
      <c r="H64" s="123"/>
    </row>
    <row r="65" spans="1:8" ht="12.75">
      <c r="A65" s="47" t="s">
        <v>172</v>
      </c>
      <c r="B65" s="59" t="s">
        <v>50</v>
      </c>
      <c r="C65" s="48" t="s">
        <v>28</v>
      </c>
      <c r="D65" s="54">
        <v>1000</v>
      </c>
      <c r="E65" s="54">
        <f>457+532.8+0.6+17.7</f>
        <v>1008.1</v>
      </c>
      <c r="F65" s="115">
        <f t="shared" si="1"/>
        <v>8.100000000000023</v>
      </c>
      <c r="G65" s="115">
        <f t="shared" si="2"/>
        <v>100.81</v>
      </c>
      <c r="H65" s="118" t="s">
        <v>194</v>
      </c>
    </row>
    <row r="66" spans="1:8" ht="12.75">
      <c r="A66" s="47" t="s">
        <v>173</v>
      </c>
      <c r="B66" s="59" t="s">
        <v>95</v>
      </c>
      <c r="C66" s="48" t="s">
        <v>28</v>
      </c>
      <c r="D66" s="54">
        <v>1160.1</v>
      </c>
      <c r="E66" s="54">
        <f>1349.2-135-0.6+0.8</f>
        <v>1214.4</v>
      </c>
      <c r="F66" s="115">
        <f t="shared" si="1"/>
        <v>54.30000000000018</v>
      </c>
      <c r="G66" s="115">
        <f t="shared" si="2"/>
        <v>104.68063098008793</v>
      </c>
      <c r="H66" s="118" t="s">
        <v>194</v>
      </c>
    </row>
    <row r="67" spans="1:8" ht="12.75" hidden="1">
      <c r="A67" s="47" t="s">
        <v>174</v>
      </c>
      <c r="B67" s="59" t="s">
        <v>88</v>
      </c>
      <c r="C67" s="48" t="s">
        <v>28</v>
      </c>
      <c r="D67" s="54"/>
      <c r="E67" s="54"/>
      <c r="F67" s="115">
        <f t="shared" si="1"/>
        <v>0</v>
      </c>
      <c r="G67" s="115" t="e">
        <f t="shared" si="2"/>
        <v>#DIV/0!</v>
      </c>
      <c r="H67" s="118"/>
    </row>
    <row r="68" spans="1:8" ht="12.75">
      <c r="A68" s="47" t="s">
        <v>175</v>
      </c>
      <c r="B68" s="59" t="s">
        <v>96</v>
      </c>
      <c r="C68" s="48" t="s">
        <v>28</v>
      </c>
      <c r="D68" s="54">
        <v>718.5</v>
      </c>
      <c r="E68" s="54">
        <f>604.9+113.6+0.1</f>
        <v>718.6</v>
      </c>
      <c r="F68" s="115">
        <f t="shared" si="1"/>
        <v>0.10000000000002274</v>
      </c>
      <c r="G68" s="115">
        <f t="shared" si="2"/>
        <v>100.01391788448156</v>
      </c>
      <c r="H68" s="118"/>
    </row>
    <row r="69" spans="1:8" ht="12.75">
      <c r="A69" s="47" t="s">
        <v>176</v>
      </c>
      <c r="B69" s="59" t="s">
        <v>97</v>
      </c>
      <c r="C69" s="48" t="s">
        <v>28</v>
      </c>
      <c r="D69" s="54">
        <v>937.3</v>
      </c>
      <c r="E69" s="54">
        <f>706.3+231</f>
        <v>937.3</v>
      </c>
      <c r="F69" s="115">
        <f t="shared" si="1"/>
        <v>0</v>
      </c>
      <c r="G69" s="115">
        <f t="shared" si="2"/>
        <v>100</v>
      </c>
      <c r="H69" s="118"/>
    </row>
    <row r="70" spans="1:8" ht="12.75">
      <c r="A70" s="47" t="s">
        <v>177</v>
      </c>
      <c r="B70" s="59" t="s">
        <v>103</v>
      </c>
      <c r="C70" s="48" t="s">
        <v>28</v>
      </c>
      <c r="D70" s="54">
        <v>81.8</v>
      </c>
      <c r="E70" s="54">
        <f>75+6.8-0.2</f>
        <v>81.6</v>
      </c>
      <c r="F70" s="115">
        <f t="shared" si="1"/>
        <v>-0.20000000000000284</v>
      </c>
      <c r="G70" s="115">
        <f t="shared" si="2"/>
        <v>99.75550122249388</v>
      </c>
      <c r="H70" s="118"/>
    </row>
    <row r="71" spans="1:8" ht="12.75">
      <c r="A71" s="47" t="s">
        <v>178</v>
      </c>
      <c r="B71" s="59" t="s">
        <v>12</v>
      </c>
      <c r="C71" s="48" t="s">
        <v>28</v>
      </c>
      <c r="D71" s="54">
        <v>1504</v>
      </c>
      <c r="E71" s="54">
        <f>1112.9+391</f>
        <v>1503.9</v>
      </c>
      <c r="F71" s="115">
        <f t="shared" si="1"/>
        <v>-0.09999999999990905</v>
      </c>
      <c r="G71" s="115">
        <f t="shared" si="2"/>
        <v>99.99335106382979</v>
      </c>
      <c r="H71" s="117"/>
    </row>
    <row r="72" spans="1:8" ht="12.75">
      <c r="A72" s="47" t="s">
        <v>179</v>
      </c>
      <c r="B72" s="59" t="s">
        <v>16</v>
      </c>
      <c r="C72" s="48" t="s">
        <v>28</v>
      </c>
      <c r="D72" s="54">
        <v>720.3</v>
      </c>
      <c r="E72" s="54">
        <v>746.9</v>
      </c>
      <c r="F72" s="115">
        <f t="shared" si="1"/>
        <v>26.600000000000023</v>
      </c>
      <c r="G72" s="115">
        <f t="shared" si="2"/>
        <v>103.69290573372207</v>
      </c>
      <c r="H72" s="118" t="s">
        <v>194</v>
      </c>
    </row>
    <row r="73" spans="1:8" ht="12.75" hidden="1">
      <c r="A73" s="47" t="s">
        <v>180</v>
      </c>
      <c r="B73" s="59" t="s">
        <v>98</v>
      </c>
      <c r="C73" s="48" t="s">
        <v>28</v>
      </c>
      <c r="D73" s="54"/>
      <c r="E73" s="54"/>
      <c r="F73" s="115">
        <f t="shared" si="1"/>
        <v>0</v>
      </c>
      <c r="G73" s="115" t="e">
        <f t="shared" si="2"/>
        <v>#DIV/0!</v>
      </c>
      <c r="H73" s="118" t="s">
        <v>194</v>
      </c>
    </row>
    <row r="74" spans="1:8" ht="12.75">
      <c r="A74" s="47" t="s">
        <v>181</v>
      </c>
      <c r="B74" s="59" t="s">
        <v>99</v>
      </c>
      <c r="C74" s="48" t="s">
        <v>28</v>
      </c>
      <c r="D74" s="54">
        <v>99.6</v>
      </c>
      <c r="E74" s="54">
        <v>108.4</v>
      </c>
      <c r="F74" s="115">
        <f t="shared" si="1"/>
        <v>8.800000000000011</v>
      </c>
      <c r="G74" s="115">
        <f t="shared" si="2"/>
        <v>108.83534136546187</v>
      </c>
      <c r="H74" s="118" t="s">
        <v>194</v>
      </c>
    </row>
    <row r="75" spans="1:8" ht="18.75" customHeight="1">
      <c r="A75" s="47" t="s">
        <v>182</v>
      </c>
      <c r="B75" s="59" t="s">
        <v>100</v>
      </c>
      <c r="C75" s="48" t="s">
        <v>28</v>
      </c>
      <c r="D75" s="54">
        <v>2197</v>
      </c>
      <c r="E75" s="54">
        <f>2013.6+200-10+17+48.3+5.3</f>
        <v>2274.2000000000003</v>
      </c>
      <c r="F75" s="115">
        <f t="shared" si="1"/>
        <v>77.20000000000027</v>
      </c>
      <c r="G75" s="115">
        <f t="shared" si="2"/>
        <v>103.51388256713703</v>
      </c>
      <c r="H75" s="118" t="s">
        <v>194</v>
      </c>
    </row>
    <row r="76" spans="1:8" ht="46.5" customHeight="1" hidden="1" thickBot="1">
      <c r="A76" s="47"/>
      <c r="B76" s="60"/>
      <c r="C76" s="48"/>
      <c r="D76" s="54"/>
      <c r="E76" s="54"/>
      <c r="F76" s="115">
        <f t="shared" si="1"/>
        <v>0</v>
      </c>
      <c r="G76" s="115" t="e">
        <f t="shared" si="2"/>
        <v>#DIV/0!</v>
      </c>
      <c r="H76" s="118"/>
    </row>
    <row r="77" spans="1:8" ht="20.25" customHeight="1">
      <c r="A77" s="47" t="s">
        <v>17</v>
      </c>
      <c r="B77" s="57" t="s">
        <v>132</v>
      </c>
      <c r="C77" s="48" t="s">
        <v>28</v>
      </c>
      <c r="D77" s="52">
        <f>D49+D18</f>
        <v>3423027.1</v>
      </c>
      <c r="E77" s="52">
        <f>E49+E18</f>
        <v>3436082.4000000004</v>
      </c>
      <c r="F77" s="115">
        <f t="shared" si="1"/>
        <v>13055.30000000028</v>
      </c>
      <c r="G77" s="119">
        <f t="shared" si="2"/>
        <v>100.38139633776197</v>
      </c>
      <c r="H77" s="118"/>
    </row>
    <row r="78" spans="1:8" ht="16.5" customHeight="1">
      <c r="A78" s="47" t="s">
        <v>101</v>
      </c>
      <c r="B78" s="57" t="s">
        <v>183</v>
      </c>
      <c r="C78" s="48" t="s">
        <v>28</v>
      </c>
      <c r="D78" s="52"/>
      <c r="E78" s="52"/>
      <c r="F78" s="125">
        <f t="shared" si="1"/>
        <v>0</v>
      </c>
      <c r="G78" s="126"/>
      <c r="H78" s="118"/>
    </row>
    <row r="79" spans="1:8" ht="16.5" customHeight="1" hidden="1">
      <c r="A79" s="47"/>
      <c r="B79" s="55" t="s">
        <v>190</v>
      </c>
      <c r="C79" s="48" t="s">
        <v>28</v>
      </c>
      <c r="D79" s="52"/>
      <c r="E79" s="52"/>
      <c r="F79" s="125"/>
      <c r="G79" s="126"/>
      <c r="H79" s="118"/>
    </row>
    <row r="80" spans="1:8" ht="15" customHeight="1">
      <c r="A80" s="47" t="s">
        <v>102</v>
      </c>
      <c r="B80" s="60" t="s">
        <v>184</v>
      </c>
      <c r="C80" s="48" t="s">
        <v>28</v>
      </c>
      <c r="D80" s="52">
        <f>D77-D79</f>
        <v>3423027.1</v>
      </c>
      <c r="E80" s="52">
        <f>E77</f>
        <v>3436082.4000000004</v>
      </c>
      <c r="F80" s="125">
        <f t="shared" si="1"/>
        <v>13055.30000000028</v>
      </c>
      <c r="G80" s="126">
        <f t="shared" si="2"/>
        <v>100.38139633776197</v>
      </c>
      <c r="H80" s="118"/>
    </row>
    <row r="81" spans="1:8" ht="15.75" customHeight="1">
      <c r="A81" s="147" t="s">
        <v>21</v>
      </c>
      <c r="B81" s="148" t="s">
        <v>25</v>
      </c>
      <c r="C81" s="48" t="s">
        <v>18</v>
      </c>
      <c r="D81" s="52">
        <v>648917.5</v>
      </c>
      <c r="E81" s="52">
        <f>594995.441+68768.665</f>
        <v>663764.106</v>
      </c>
      <c r="F81" s="125">
        <f t="shared" si="1"/>
        <v>14846.606000000029</v>
      </c>
      <c r="G81" s="126">
        <f t="shared" si="2"/>
        <v>102.28790347000967</v>
      </c>
      <c r="H81" s="127"/>
    </row>
    <row r="82" spans="1:8" ht="15.75" customHeight="1" hidden="1">
      <c r="A82" s="147"/>
      <c r="B82" s="148"/>
      <c r="C82" s="48" t="s">
        <v>28</v>
      </c>
      <c r="D82" s="52">
        <f>D81*5.27</f>
        <v>3419795.2249999996</v>
      </c>
      <c r="E82" s="52">
        <v>3494993.9</v>
      </c>
      <c r="F82" s="125">
        <f t="shared" si="1"/>
        <v>75198.67500000028</v>
      </c>
      <c r="G82" s="126">
        <f t="shared" si="2"/>
        <v>102.19892332880838</v>
      </c>
      <c r="H82" s="127"/>
    </row>
    <row r="83" spans="1:8" ht="15.75" customHeight="1" hidden="1">
      <c r="A83" s="47"/>
      <c r="B83" s="60"/>
      <c r="C83" s="48"/>
      <c r="D83" s="105"/>
      <c r="E83" s="52">
        <f>E82-E80</f>
        <v>58911.499999999534</v>
      </c>
      <c r="F83" s="125">
        <f t="shared" si="1"/>
        <v>58911.499999999534</v>
      </c>
      <c r="G83" s="126" t="e">
        <f t="shared" si="2"/>
        <v>#DIV/0!</v>
      </c>
      <c r="H83" s="127"/>
    </row>
    <row r="84" spans="1:8" ht="15.75" customHeight="1">
      <c r="A84" s="147" t="s">
        <v>22</v>
      </c>
      <c r="B84" s="148" t="s">
        <v>198</v>
      </c>
      <c r="C84" s="48" t="s">
        <v>18</v>
      </c>
      <c r="D84" s="52">
        <v>115882.5</v>
      </c>
      <c r="E84" s="52">
        <v>127888.5</v>
      </c>
      <c r="F84" s="125">
        <f t="shared" si="1"/>
        <v>12006</v>
      </c>
      <c r="G84" s="126">
        <f t="shared" si="2"/>
        <v>110.36049446637759</v>
      </c>
      <c r="H84" s="127"/>
    </row>
    <row r="85" spans="1:8" ht="12.75">
      <c r="A85" s="147"/>
      <c r="B85" s="148"/>
      <c r="C85" s="48" t="s">
        <v>27</v>
      </c>
      <c r="D85" s="61">
        <v>15.1</v>
      </c>
      <c r="E85" s="61">
        <v>15.1</v>
      </c>
      <c r="F85" s="125">
        <f t="shared" si="1"/>
        <v>0</v>
      </c>
      <c r="G85" s="126">
        <f t="shared" si="2"/>
        <v>100</v>
      </c>
      <c r="H85" s="118"/>
    </row>
    <row r="86" spans="1:8" ht="21" customHeight="1" thickBot="1">
      <c r="A86" s="88" t="s">
        <v>23</v>
      </c>
      <c r="B86" s="62" t="s">
        <v>26</v>
      </c>
      <c r="C86" s="64" t="s">
        <v>30</v>
      </c>
      <c r="D86" s="63">
        <f>D82/D81</f>
        <v>5.27</v>
      </c>
      <c r="E86" s="63">
        <f>E82/E81</f>
        <v>5.265415632462656</v>
      </c>
      <c r="F86" s="128">
        <f t="shared" si="1"/>
        <v>-0.004584367537343148</v>
      </c>
      <c r="G86" s="129">
        <v>100</v>
      </c>
      <c r="H86" s="130"/>
    </row>
    <row r="87" spans="1:8" ht="19.5" customHeight="1" hidden="1">
      <c r="A87" s="65"/>
      <c r="B87" s="66"/>
      <c r="C87" s="67"/>
      <c r="D87" s="68" t="s">
        <v>76</v>
      </c>
      <c r="E87" s="26" t="s">
        <v>77</v>
      </c>
      <c r="F87" s="27"/>
      <c r="G87" s="27"/>
      <c r="H87" s="69"/>
    </row>
    <row r="88" spans="1:8" ht="12.75" customHeight="1" hidden="1">
      <c r="A88" s="70" t="s">
        <v>14</v>
      </c>
      <c r="B88" s="164" t="s">
        <v>65</v>
      </c>
      <c r="C88" s="166"/>
      <c r="D88" s="166"/>
      <c r="E88" s="133"/>
      <c r="F88" s="135"/>
      <c r="G88" s="135"/>
      <c r="H88" s="159"/>
    </row>
    <row r="89" spans="1:8" ht="12.75" customHeight="1" hidden="1">
      <c r="A89" s="71"/>
      <c r="B89" s="165"/>
      <c r="C89" s="167"/>
      <c r="D89" s="167"/>
      <c r="E89" s="134"/>
      <c r="F89" s="136"/>
      <c r="G89" s="136"/>
      <c r="H89" s="160"/>
    </row>
    <row r="90" spans="1:8" ht="12.75" hidden="1">
      <c r="A90" s="71"/>
      <c r="B90" s="9" t="s">
        <v>142</v>
      </c>
      <c r="C90" s="9" t="s">
        <v>28</v>
      </c>
      <c r="D90" s="10"/>
      <c r="E90" s="29">
        <v>914.5</v>
      </c>
      <c r="F90" s="8"/>
      <c r="G90" s="8"/>
      <c r="H90" s="72"/>
    </row>
    <row r="91" spans="1:10" ht="12.75" hidden="1">
      <c r="A91" s="71"/>
      <c r="B91" s="9" t="s">
        <v>143</v>
      </c>
      <c r="C91" s="9" t="s">
        <v>28</v>
      </c>
      <c r="D91" s="12"/>
      <c r="E91" s="13">
        <f>10514.8-9838.1</f>
        <v>676.6999999999989</v>
      </c>
      <c r="F91" s="8"/>
      <c r="G91" s="8"/>
      <c r="H91" s="58"/>
      <c r="I91" s="32">
        <v>10514.8</v>
      </c>
      <c r="J91" s="32">
        <v>1156</v>
      </c>
    </row>
    <row r="92" spans="1:9" ht="12.75" hidden="1">
      <c r="A92" s="71"/>
      <c r="B92" s="9" t="s">
        <v>205</v>
      </c>
      <c r="C92" s="9"/>
      <c r="D92" s="12"/>
      <c r="E92" s="13">
        <f>1156-1153.4+1196+9.3</f>
        <v>1207.8999999999999</v>
      </c>
      <c r="F92" s="8"/>
      <c r="G92" s="8"/>
      <c r="H92" s="58"/>
      <c r="I92" s="32">
        <v>3750</v>
      </c>
    </row>
    <row r="93" spans="1:9" ht="12.75" hidden="1">
      <c r="A93" s="71"/>
      <c r="B93" s="55" t="s">
        <v>88</v>
      </c>
      <c r="C93" s="9"/>
      <c r="D93" s="12"/>
      <c r="E93" s="13">
        <f>5360+155.3</f>
        <v>5515.3</v>
      </c>
      <c r="F93" s="8"/>
      <c r="G93" s="8"/>
      <c r="H93" s="58"/>
      <c r="I93" s="31">
        <v>5360</v>
      </c>
    </row>
    <row r="94" spans="1:9" ht="12.75" hidden="1">
      <c r="A94" s="71"/>
      <c r="B94" s="55" t="s">
        <v>144</v>
      </c>
      <c r="C94" s="9"/>
      <c r="D94" s="12"/>
      <c r="E94" s="13">
        <v>33273</v>
      </c>
      <c r="F94" s="8"/>
      <c r="G94" s="8"/>
      <c r="H94" s="58"/>
      <c r="I94" s="33">
        <v>33273</v>
      </c>
    </row>
    <row r="95" spans="1:10" ht="12.75" hidden="1">
      <c r="A95" s="71"/>
      <c r="B95" s="55" t="s">
        <v>145</v>
      </c>
      <c r="C95" s="9"/>
      <c r="D95" s="12"/>
      <c r="E95" s="13">
        <f>3389</f>
        <v>3389</v>
      </c>
      <c r="F95" s="8"/>
      <c r="G95" s="8"/>
      <c r="H95" s="58"/>
      <c r="I95" s="33">
        <v>3389</v>
      </c>
      <c r="J95">
        <v>1196</v>
      </c>
    </row>
    <row r="96" spans="1:9" ht="12.75" hidden="1">
      <c r="A96" s="71"/>
      <c r="B96" s="55" t="s">
        <v>8</v>
      </c>
      <c r="C96" s="9"/>
      <c r="D96" s="12"/>
      <c r="E96" s="13"/>
      <c r="F96" s="8"/>
      <c r="G96" s="8"/>
      <c r="H96" s="58"/>
      <c r="I96" s="39"/>
    </row>
    <row r="97" spans="1:8" ht="12.75" hidden="1">
      <c r="A97" s="73"/>
      <c r="B97" s="9" t="s">
        <v>80</v>
      </c>
      <c r="C97" s="9" t="s">
        <v>28</v>
      </c>
      <c r="D97" s="12">
        <f>10041.2</f>
        <v>10041.2</v>
      </c>
      <c r="E97" s="14">
        <v>11780.9</v>
      </c>
      <c r="F97" s="8"/>
      <c r="G97" s="8"/>
      <c r="H97" s="58"/>
    </row>
    <row r="98" spans="1:8" ht="12.75" hidden="1">
      <c r="A98" s="74"/>
      <c r="B98" s="15" t="s">
        <v>83</v>
      </c>
      <c r="C98" s="9" t="s">
        <v>28</v>
      </c>
      <c r="D98" s="12"/>
      <c r="E98" s="107">
        <v>12748.3</v>
      </c>
      <c r="F98" s="16"/>
      <c r="G98" s="16"/>
      <c r="H98" s="75"/>
    </row>
    <row r="99" spans="1:11" ht="12.75" hidden="1">
      <c r="A99" s="74"/>
      <c r="B99" s="15" t="s">
        <v>84</v>
      </c>
      <c r="C99" s="9" t="s">
        <v>28</v>
      </c>
      <c r="D99" s="12"/>
      <c r="E99" s="107">
        <f>2418.4</f>
        <v>2418.4</v>
      </c>
      <c r="F99" s="16"/>
      <c r="G99" s="16"/>
      <c r="H99" s="75"/>
      <c r="I99" s="2"/>
      <c r="J99" s="30">
        <v>118.3</v>
      </c>
      <c r="K99" s="30">
        <v>1177.9</v>
      </c>
    </row>
    <row r="100" spans="1:8" ht="12.75" hidden="1">
      <c r="A100" s="74"/>
      <c r="B100" s="15" t="s">
        <v>146</v>
      </c>
      <c r="C100" s="9" t="s">
        <v>28</v>
      </c>
      <c r="D100" s="12"/>
      <c r="E100" s="14">
        <v>52</v>
      </c>
      <c r="F100" s="16"/>
      <c r="G100" s="16"/>
      <c r="H100" s="75"/>
    </row>
    <row r="101" spans="1:9" ht="12.75" hidden="1">
      <c r="A101" s="74"/>
      <c r="B101" s="15" t="s">
        <v>114</v>
      </c>
      <c r="C101" s="9" t="s">
        <v>28</v>
      </c>
      <c r="D101" s="12"/>
      <c r="E101" s="107">
        <v>5037.7</v>
      </c>
      <c r="F101" s="16"/>
      <c r="G101" s="16"/>
      <c r="H101" s="75"/>
      <c r="I101" s="2"/>
    </row>
    <row r="102" spans="1:8" ht="12.75" hidden="1">
      <c r="A102" s="71"/>
      <c r="B102" s="9" t="s">
        <v>118</v>
      </c>
      <c r="C102" s="9" t="s">
        <v>28</v>
      </c>
      <c r="D102" s="12"/>
      <c r="E102" s="108">
        <v>4992.2</v>
      </c>
      <c r="F102" s="8"/>
      <c r="G102" s="8"/>
      <c r="H102" s="72"/>
    </row>
    <row r="103" spans="1:8" ht="12.75" hidden="1">
      <c r="A103" s="71"/>
      <c r="B103" s="9" t="s">
        <v>203</v>
      </c>
      <c r="C103" s="9" t="s">
        <v>28</v>
      </c>
      <c r="D103" s="12"/>
      <c r="E103" s="106">
        <f>950+108</f>
        <v>1058</v>
      </c>
      <c r="F103" s="8"/>
      <c r="G103" s="8"/>
      <c r="H103" s="58"/>
    </row>
    <row r="104" spans="1:8" ht="12.75" hidden="1">
      <c r="A104" s="71"/>
      <c r="B104" s="9" t="s">
        <v>204</v>
      </c>
      <c r="C104" s="9"/>
      <c r="D104" s="12"/>
      <c r="E104" s="106">
        <f>2072</f>
        <v>2072</v>
      </c>
      <c r="F104" s="8"/>
      <c r="G104" s="8"/>
      <c r="H104" s="58"/>
    </row>
    <row r="105" spans="1:8" ht="12.75" hidden="1">
      <c r="A105" s="71"/>
      <c r="B105" s="17" t="s">
        <v>139</v>
      </c>
      <c r="C105" s="9" t="s">
        <v>28</v>
      </c>
      <c r="D105" s="12">
        <v>2669.3</v>
      </c>
      <c r="E105" s="13"/>
      <c r="F105" s="8"/>
      <c r="G105" s="8"/>
      <c r="H105" s="58"/>
    </row>
    <row r="106" spans="1:9" ht="12.75" hidden="1">
      <c r="A106" s="71"/>
      <c r="B106" s="9" t="s">
        <v>120</v>
      </c>
      <c r="C106" s="9" t="s">
        <v>28</v>
      </c>
      <c r="D106" s="12"/>
      <c r="E106" s="106">
        <f>3034+4337.4</f>
        <v>7371.4</v>
      </c>
      <c r="F106" s="8"/>
      <c r="G106" s="8"/>
      <c r="H106" s="72"/>
      <c r="I106" s="2"/>
    </row>
    <row r="107" spans="1:9" ht="12.75" hidden="1">
      <c r="A107" s="71"/>
      <c r="B107" s="18" t="s">
        <v>62</v>
      </c>
      <c r="C107" s="9" t="s">
        <v>28</v>
      </c>
      <c r="D107" s="12"/>
      <c r="E107" s="110">
        <v>460.5</v>
      </c>
      <c r="F107" s="8"/>
      <c r="G107" s="8"/>
      <c r="H107" s="58"/>
      <c r="I107" s="4"/>
    </row>
    <row r="108" spans="1:9" ht="12.75" hidden="1">
      <c r="A108" s="71"/>
      <c r="B108" s="9" t="s">
        <v>123</v>
      </c>
      <c r="C108" s="9" t="s">
        <v>28</v>
      </c>
      <c r="D108" s="36">
        <f>2282.1+4015.7</f>
        <v>6297.799999999999</v>
      </c>
      <c r="E108" s="19"/>
      <c r="F108" s="8"/>
      <c r="G108" s="8"/>
      <c r="H108" s="58"/>
      <c r="I108" s="4"/>
    </row>
    <row r="109" spans="1:9" ht="12.75" hidden="1">
      <c r="A109" s="71"/>
      <c r="B109" s="17" t="s">
        <v>68</v>
      </c>
      <c r="C109" s="9" t="s">
        <v>28</v>
      </c>
      <c r="D109" s="35">
        <f>53.6+11480.6</f>
        <v>11534.2</v>
      </c>
      <c r="E109" s="21">
        <v>2616.6</v>
      </c>
      <c r="F109" s="8"/>
      <c r="G109" s="8"/>
      <c r="H109" s="76"/>
      <c r="I109" s="34">
        <v>2616.6</v>
      </c>
    </row>
    <row r="110" spans="1:9" ht="12.75" hidden="1">
      <c r="A110" s="71"/>
      <c r="B110" s="17" t="s">
        <v>69</v>
      </c>
      <c r="C110" s="9" t="s">
        <v>28</v>
      </c>
      <c r="D110" s="35">
        <f>41102.3+748.4+2.7</f>
        <v>41853.4</v>
      </c>
      <c r="E110" s="21"/>
      <c r="F110" s="8"/>
      <c r="G110" s="8"/>
      <c r="H110" s="58"/>
      <c r="I110" s="1"/>
    </row>
    <row r="111" spans="1:9" ht="12.75" hidden="1">
      <c r="A111" s="71"/>
      <c r="B111" s="9" t="s">
        <v>130</v>
      </c>
      <c r="C111" s="9" t="s">
        <v>28</v>
      </c>
      <c r="D111" s="35">
        <v>415.9</v>
      </c>
      <c r="E111" s="22"/>
      <c r="F111" s="23"/>
      <c r="G111" s="23"/>
      <c r="H111" s="58"/>
      <c r="I111" s="1"/>
    </row>
    <row r="112" spans="1:9" ht="12.75" hidden="1">
      <c r="A112" s="71"/>
      <c r="B112" s="24" t="s">
        <v>113</v>
      </c>
      <c r="C112" s="9" t="s">
        <v>28</v>
      </c>
      <c r="D112" s="20"/>
      <c r="E112" s="109">
        <v>100.8</v>
      </c>
      <c r="F112" s="18"/>
      <c r="G112" s="18"/>
      <c r="H112" s="58"/>
      <c r="I112" s="5"/>
    </row>
    <row r="113" spans="1:9" ht="12.75" hidden="1">
      <c r="A113" s="71"/>
      <c r="B113" s="24" t="s">
        <v>133</v>
      </c>
      <c r="C113" s="9" t="s">
        <v>28</v>
      </c>
      <c r="D113" s="38">
        <v>128.7</v>
      </c>
      <c r="E113" s="22"/>
      <c r="F113" s="18"/>
      <c r="G113" s="18"/>
      <c r="H113" s="77"/>
      <c r="I113" s="1"/>
    </row>
    <row r="114" spans="1:9" ht="12.75" hidden="1">
      <c r="A114" s="71"/>
      <c r="B114" s="9" t="s">
        <v>127</v>
      </c>
      <c r="C114" s="9" t="s">
        <v>28</v>
      </c>
      <c r="D114" s="36">
        <v>178.6</v>
      </c>
      <c r="E114" s="21"/>
      <c r="F114" s="9"/>
      <c r="G114" s="9"/>
      <c r="H114" s="58"/>
      <c r="I114" s="1"/>
    </row>
    <row r="115" spans="1:9" ht="12.75" hidden="1">
      <c r="A115" s="71"/>
      <c r="B115" s="9" t="s">
        <v>111</v>
      </c>
      <c r="C115" s="9" t="s">
        <v>28</v>
      </c>
      <c r="D115" s="12"/>
      <c r="E115" s="109">
        <v>7184.2</v>
      </c>
      <c r="F115" s="9"/>
      <c r="G115" s="9"/>
      <c r="H115" s="58"/>
      <c r="I115" s="5"/>
    </row>
    <row r="116" spans="1:8" ht="12.75" hidden="1">
      <c r="A116" s="71"/>
      <c r="B116" s="9" t="s">
        <v>75</v>
      </c>
      <c r="C116" s="9" t="s">
        <v>28</v>
      </c>
      <c r="D116" s="12"/>
      <c r="E116" s="110">
        <v>1012.6</v>
      </c>
      <c r="F116" s="9"/>
      <c r="G116" s="9"/>
      <c r="H116" s="58"/>
    </row>
    <row r="117" spans="1:8" ht="12.75" hidden="1">
      <c r="A117" s="71"/>
      <c r="B117" s="9" t="s">
        <v>126</v>
      </c>
      <c r="C117" s="9" t="s">
        <v>28</v>
      </c>
      <c r="D117" s="36">
        <f>2215.6+739.4</f>
        <v>2955</v>
      </c>
      <c r="E117" s="110"/>
      <c r="F117" s="9"/>
      <c r="G117" s="9"/>
      <c r="H117" s="58"/>
    </row>
    <row r="118" spans="1:9" ht="12.75" hidden="1">
      <c r="A118" s="71"/>
      <c r="B118" s="9" t="s">
        <v>82</v>
      </c>
      <c r="C118" s="9" t="s">
        <v>28</v>
      </c>
      <c r="D118" s="37">
        <f>2.5+14.3+4628.9+429.5+58.4+2.9+19.8+6.5+106.9+25.9</f>
        <v>5295.5999999999985</v>
      </c>
      <c r="E118" s="111"/>
      <c r="F118" s="9"/>
      <c r="G118" s="9"/>
      <c r="H118" s="58"/>
      <c r="I118" s="2"/>
    </row>
    <row r="119" spans="1:9" ht="12.75" hidden="1">
      <c r="A119" s="71"/>
      <c r="B119" s="78" t="s">
        <v>24</v>
      </c>
      <c r="C119" s="9" t="s">
        <v>28</v>
      </c>
      <c r="D119" s="36">
        <f>4352.6+1039.4</f>
        <v>5392</v>
      </c>
      <c r="E119" s="110">
        <v>2781.6</v>
      </c>
      <c r="F119" s="9"/>
      <c r="G119" s="9"/>
      <c r="H119" s="58"/>
      <c r="I119" s="2"/>
    </row>
    <row r="120" spans="1:8" ht="12.75" hidden="1">
      <c r="A120" s="71"/>
      <c r="B120" s="9" t="s">
        <v>74</v>
      </c>
      <c r="C120" s="9" t="s">
        <v>28</v>
      </c>
      <c r="D120" s="37">
        <v>6812.3</v>
      </c>
      <c r="E120" s="22"/>
      <c r="F120" s="9"/>
      <c r="G120" s="9"/>
      <c r="H120" s="58"/>
    </row>
    <row r="121" spans="1:8" ht="12.75" hidden="1">
      <c r="A121" s="71"/>
      <c r="B121" s="9" t="s">
        <v>107</v>
      </c>
      <c r="C121" s="9" t="s">
        <v>28</v>
      </c>
      <c r="D121" s="37">
        <f>313.3+59.8+2.7</f>
        <v>375.8</v>
      </c>
      <c r="E121" s="21"/>
      <c r="F121" s="9"/>
      <c r="G121" s="9"/>
      <c r="H121" s="58"/>
    </row>
    <row r="122" spans="1:8" ht="12.75" hidden="1">
      <c r="A122" s="71"/>
      <c r="B122" s="9" t="s">
        <v>131</v>
      </c>
      <c r="C122" s="9" t="s">
        <v>28</v>
      </c>
      <c r="D122" s="38">
        <f>88.6</f>
        <v>88.6</v>
      </c>
      <c r="E122" s="22"/>
      <c r="F122" s="9"/>
      <c r="G122" s="9"/>
      <c r="H122" s="58"/>
    </row>
    <row r="123" spans="1:8" ht="12.75" hidden="1">
      <c r="A123" s="71"/>
      <c r="B123" s="17" t="s">
        <v>81</v>
      </c>
      <c r="C123" s="9" t="s">
        <v>28</v>
      </c>
      <c r="D123" s="38">
        <f>1531+1338.2+56480.8+31+11+71.4+420.5+650.6+11.5+62.5</f>
        <v>60608.5</v>
      </c>
      <c r="E123" s="25"/>
      <c r="F123" s="9"/>
      <c r="G123" s="9"/>
      <c r="H123" s="72"/>
    </row>
    <row r="124" spans="1:8" ht="12.75" hidden="1">
      <c r="A124" s="71"/>
      <c r="B124" s="17" t="s">
        <v>70</v>
      </c>
      <c r="C124" s="9" t="s">
        <v>28</v>
      </c>
      <c r="D124" s="37">
        <f>186.4+308</f>
        <v>494.4</v>
      </c>
      <c r="E124" s="25"/>
      <c r="F124" s="9"/>
      <c r="G124" s="9"/>
      <c r="H124" s="72"/>
    </row>
    <row r="125" spans="1:8" ht="12.75" hidden="1">
      <c r="A125" s="70"/>
      <c r="B125" s="9" t="s">
        <v>104</v>
      </c>
      <c r="C125" s="9" t="s">
        <v>28</v>
      </c>
      <c r="D125" s="35">
        <f>44.6+6867.8</f>
        <v>6912.400000000001</v>
      </c>
      <c r="E125" s="22"/>
      <c r="F125" s="9"/>
      <c r="G125" s="9"/>
      <c r="H125" s="76"/>
    </row>
    <row r="126" spans="1:8" ht="12.75" hidden="1">
      <c r="A126" s="70"/>
      <c r="B126" s="9" t="s">
        <v>125</v>
      </c>
      <c r="C126" s="9" t="s">
        <v>28</v>
      </c>
      <c r="D126" s="36">
        <v>108.1</v>
      </c>
      <c r="E126" s="19"/>
      <c r="F126" s="9"/>
      <c r="G126" s="9"/>
      <c r="H126" s="76"/>
    </row>
    <row r="127" spans="1:8" ht="12.75" hidden="1">
      <c r="A127" s="70"/>
      <c r="B127" s="9" t="s">
        <v>119</v>
      </c>
      <c r="C127" s="9" t="s">
        <v>28</v>
      </c>
      <c r="D127" s="36">
        <f>47770.2+89.3+1039.6</f>
        <v>48899.1</v>
      </c>
      <c r="E127" s="22"/>
      <c r="F127" s="9"/>
      <c r="G127" s="9"/>
      <c r="H127" s="58"/>
    </row>
    <row r="128" spans="1:8" ht="12.75" hidden="1">
      <c r="A128" s="70"/>
      <c r="B128" s="9" t="s">
        <v>105</v>
      </c>
      <c r="C128" s="9" t="s">
        <v>28</v>
      </c>
      <c r="D128" s="35">
        <v>3693.5</v>
      </c>
      <c r="E128" s="22"/>
      <c r="F128" s="9"/>
      <c r="G128" s="9"/>
      <c r="H128" s="58"/>
    </row>
    <row r="129" spans="1:8" ht="12.75" hidden="1">
      <c r="A129" s="70"/>
      <c r="B129" s="9" t="s">
        <v>108</v>
      </c>
      <c r="C129" s="9" t="s">
        <v>28</v>
      </c>
      <c r="D129" s="35">
        <v>7175.5</v>
      </c>
      <c r="E129" s="22"/>
      <c r="F129" s="9"/>
      <c r="G129" s="9"/>
      <c r="H129" s="58"/>
    </row>
    <row r="130" spans="1:8" ht="12.75" hidden="1">
      <c r="A130" s="70"/>
      <c r="B130" s="9" t="s">
        <v>140</v>
      </c>
      <c r="C130" s="9" t="s">
        <v>28</v>
      </c>
      <c r="D130" s="36">
        <v>1071.4</v>
      </c>
      <c r="E130" s="22"/>
      <c r="F130" s="9"/>
      <c r="G130" s="9"/>
      <c r="H130" s="58"/>
    </row>
    <row r="131" spans="1:8" ht="12.75" hidden="1">
      <c r="A131" s="70"/>
      <c r="B131" s="9" t="s">
        <v>124</v>
      </c>
      <c r="C131" s="9" t="s">
        <v>28</v>
      </c>
      <c r="D131" s="12">
        <f>475.5+1406.1</f>
        <v>1881.6</v>
      </c>
      <c r="E131" s="22"/>
      <c r="F131" s="9"/>
      <c r="G131" s="9"/>
      <c r="H131" s="58"/>
    </row>
    <row r="132" spans="1:8" ht="12.75" hidden="1">
      <c r="A132" s="70"/>
      <c r="B132" s="9" t="s">
        <v>79</v>
      </c>
      <c r="C132" s="9" t="s">
        <v>28</v>
      </c>
      <c r="D132" s="12"/>
      <c r="E132" s="111">
        <v>4158.7</v>
      </c>
      <c r="F132" s="9"/>
      <c r="G132" s="9"/>
      <c r="H132" s="58"/>
    </row>
    <row r="133" spans="1:8" ht="12.75" hidden="1">
      <c r="A133" s="70"/>
      <c r="B133" s="9" t="s">
        <v>121</v>
      </c>
      <c r="C133" s="9" t="s">
        <v>28</v>
      </c>
      <c r="D133" s="36">
        <v>14</v>
      </c>
      <c r="E133" s="22"/>
      <c r="F133" s="9"/>
      <c r="G133" s="9"/>
      <c r="H133" s="58"/>
    </row>
    <row r="134" spans="1:9" ht="12.75" hidden="1">
      <c r="A134" s="70"/>
      <c r="B134" s="9" t="s">
        <v>112</v>
      </c>
      <c r="C134" s="9" t="s">
        <v>28</v>
      </c>
      <c r="D134" s="12"/>
      <c r="E134" s="112">
        <v>4211.4</v>
      </c>
      <c r="F134" s="9"/>
      <c r="G134" s="9"/>
      <c r="H134" s="58"/>
      <c r="I134" s="3"/>
    </row>
    <row r="135" spans="1:9" ht="12.75" hidden="1">
      <c r="A135" s="70"/>
      <c r="B135" s="9" t="s">
        <v>110</v>
      </c>
      <c r="C135" s="9" t="s">
        <v>28</v>
      </c>
      <c r="D135" s="12"/>
      <c r="E135" s="28">
        <f>15939+1113.8</f>
        <v>17052.8</v>
      </c>
      <c r="F135" s="9"/>
      <c r="G135" s="9"/>
      <c r="H135" s="58"/>
      <c r="I135" s="1"/>
    </row>
    <row r="136" spans="1:9" ht="12.75" hidden="1">
      <c r="A136" s="70"/>
      <c r="B136" s="9" t="s">
        <v>138</v>
      </c>
      <c r="C136" s="9" t="s">
        <v>28</v>
      </c>
      <c r="D136" s="12"/>
      <c r="E136" s="106">
        <v>1339.3</v>
      </c>
      <c r="F136" s="9"/>
      <c r="G136" s="9"/>
      <c r="H136" s="58"/>
      <c r="I136" s="1"/>
    </row>
    <row r="137" spans="1:9" ht="12.75" hidden="1">
      <c r="A137" s="70"/>
      <c r="B137" s="9" t="s">
        <v>141</v>
      </c>
      <c r="C137" s="9" t="s">
        <v>28</v>
      </c>
      <c r="D137" s="12"/>
      <c r="E137" s="106">
        <f>1205+600.2</f>
        <v>1805.2</v>
      </c>
      <c r="F137" s="9"/>
      <c r="G137" s="9"/>
      <c r="H137" s="58"/>
      <c r="I137" s="1"/>
    </row>
    <row r="138" spans="1:9" ht="12.75" hidden="1">
      <c r="A138" s="70"/>
      <c r="B138" s="9" t="s">
        <v>128</v>
      </c>
      <c r="C138" s="9" t="s">
        <v>28</v>
      </c>
      <c r="D138" s="12">
        <v>12934.4</v>
      </c>
      <c r="E138" s="13"/>
      <c r="F138" s="9"/>
      <c r="G138" s="9"/>
      <c r="H138" s="58"/>
      <c r="I138" s="7">
        <f>E140+E119+E115+E107+E51+E28+E91+E94</f>
        <v>1360859.9000000001</v>
      </c>
    </row>
    <row r="139" spans="1:9" ht="12.75" hidden="1">
      <c r="A139" s="70"/>
      <c r="B139" s="9" t="s">
        <v>122</v>
      </c>
      <c r="C139" s="9" t="s">
        <v>28</v>
      </c>
      <c r="D139" s="12"/>
      <c r="E139" s="11">
        <f>4657.3</f>
        <v>4657.3</v>
      </c>
      <c r="F139" s="9"/>
      <c r="G139" s="9"/>
      <c r="H139" s="58"/>
      <c r="I139" s="113">
        <f>E116+E142+E95+E52+E29+E92</f>
        <v>135911.3</v>
      </c>
    </row>
    <row r="140" spans="1:9" ht="12.75" hidden="1">
      <c r="A140" s="70"/>
      <c r="B140" s="9" t="s">
        <v>115</v>
      </c>
      <c r="C140" s="9" t="s">
        <v>28</v>
      </c>
      <c r="D140" s="12"/>
      <c r="E140" s="112">
        <v>4008.5</v>
      </c>
      <c r="F140" s="9"/>
      <c r="G140" s="9"/>
      <c r="H140" s="58"/>
      <c r="I140" s="3"/>
    </row>
    <row r="141" spans="1:9" ht="12.75" hidden="1">
      <c r="A141" s="70"/>
      <c r="B141" s="9" t="s">
        <v>116</v>
      </c>
      <c r="C141" s="9" t="s">
        <v>28</v>
      </c>
      <c r="D141" s="12"/>
      <c r="E141" s="11"/>
      <c r="F141" s="9"/>
      <c r="G141" s="9"/>
      <c r="H141" s="58"/>
      <c r="I141" s="6"/>
    </row>
    <row r="142" spans="1:9" ht="12.75" hidden="1">
      <c r="A142" s="70"/>
      <c r="B142" s="9" t="s">
        <v>117</v>
      </c>
      <c r="C142" s="9" t="s">
        <v>28</v>
      </c>
      <c r="D142" s="12"/>
      <c r="E142" s="112">
        <v>366.5</v>
      </c>
      <c r="F142" s="9"/>
      <c r="G142" s="24"/>
      <c r="H142" s="58"/>
      <c r="I142" s="6"/>
    </row>
    <row r="143" spans="1:9" ht="12.75" hidden="1">
      <c r="A143" s="70"/>
      <c r="B143" s="9"/>
      <c r="C143" s="9"/>
      <c r="D143" s="12"/>
      <c r="E143" s="11">
        <v>32000</v>
      </c>
      <c r="F143" s="9"/>
      <c r="G143" s="24"/>
      <c r="H143" s="58"/>
      <c r="I143" s="6"/>
    </row>
    <row r="144" spans="1:9" ht="12.75" hidden="1">
      <c r="A144" s="70"/>
      <c r="B144" s="9" t="s">
        <v>137</v>
      </c>
      <c r="C144" s="9" t="s">
        <v>28</v>
      </c>
      <c r="D144" s="12"/>
      <c r="E144" s="112">
        <v>134</v>
      </c>
      <c r="F144" s="9"/>
      <c r="G144" s="9"/>
      <c r="H144" s="58"/>
      <c r="I144" s="3"/>
    </row>
    <row r="145" spans="1:9" ht="12.75" hidden="1">
      <c r="A145" s="70"/>
      <c r="B145" s="9" t="s">
        <v>129</v>
      </c>
      <c r="C145" s="9" t="s">
        <v>28</v>
      </c>
      <c r="D145" s="12"/>
      <c r="E145" s="112">
        <v>350</v>
      </c>
      <c r="F145" s="9"/>
      <c r="G145" s="9"/>
      <c r="H145" s="58"/>
      <c r="I145" s="2"/>
    </row>
    <row r="146" spans="1:9" ht="12.75" hidden="1">
      <c r="A146" s="70"/>
      <c r="B146" s="18" t="s">
        <v>66</v>
      </c>
      <c r="C146" s="9" t="s">
        <v>28</v>
      </c>
      <c r="D146" s="41">
        <f>SUM(D90:D145)</f>
        <v>237831.3</v>
      </c>
      <c r="E146" s="41">
        <f>SUM(E90:E145)</f>
        <v>176747.29999999996</v>
      </c>
      <c r="F146" s="9"/>
      <c r="G146" s="9"/>
      <c r="H146" s="58"/>
      <c r="I146" s="2"/>
    </row>
    <row r="147" spans="1:9" ht="12.75" hidden="1">
      <c r="A147" s="70"/>
      <c r="B147" s="18" t="s">
        <v>78</v>
      </c>
      <c r="C147" s="9" t="s">
        <v>28</v>
      </c>
      <c r="D147" s="41"/>
      <c r="E147" s="41">
        <f>D146-E146</f>
        <v>61084.00000000003</v>
      </c>
      <c r="F147" s="9"/>
      <c r="G147" s="55"/>
      <c r="H147" s="58"/>
      <c r="I147" s="2"/>
    </row>
    <row r="148" spans="1:9" ht="13.5" hidden="1" thickBot="1">
      <c r="A148" s="79"/>
      <c r="B148" s="80" t="s">
        <v>67</v>
      </c>
      <c r="C148" s="80" t="s">
        <v>28</v>
      </c>
      <c r="D148" s="42"/>
      <c r="E148" s="42">
        <f>E147+E83</f>
        <v>119995.49999999956</v>
      </c>
      <c r="F148" s="43"/>
      <c r="G148" s="43"/>
      <c r="H148" s="81"/>
      <c r="I148" s="2"/>
    </row>
    <row r="149" spans="1:8" ht="12.75">
      <c r="A149" s="82"/>
      <c r="B149" s="83"/>
      <c r="C149" s="83"/>
      <c r="D149" s="84"/>
      <c r="E149" s="84"/>
      <c r="F149" s="84"/>
      <c r="G149" s="83"/>
      <c r="H149" s="82"/>
    </row>
    <row r="150" spans="1:8" ht="12.75">
      <c r="A150" s="82"/>
      <c r="B150" s="83"/>
      <c r="C150" s="83"/>
      <c r="D150" s="84"/>
      <c r="E150" s="84"/>
      <c r="F150" s="84"/>
      <c r="G150" s="84"/>
      <c r="H150" s="82"/>
    </row>
    <row r="151" spans="1:8" s="40" customFormat="1" ht="22.5" customHeight="1">
      <c r="A151" s="157" t="s">
        <v>157</v>
      </c>
      <c r="B151" s="157"/>
      <c r="C151" s="157"/>
      <c r="D151" s="157"/>
      <c r="E151" s="157"/>
      <c r="F151" s="157"/>
      <c r="G151" s="157"/>
      <c r="H151" s="157"/>
    </row>
    <row r="152" spans="1:8" s="40" customFormat="1" ht="23.25" customHeight="1">
      <c r="A152" s="157" t="s">
        <v>156</v>
      </c>
      <c r="B152" s="157"/>
      <c r="C152" s="157"/>
      <c r="D152" s="157"/>
      <c r="E152" s="157"/>
      <c r="F152" s="157"/>
      <c r="G152" s="157"/>
      <c r="H152" s="157"/>
    </row>
    <row r="153" spans="1:8" s="40" customFormat="1" ht="21.75" customHeight="1">
      <c r="A153" s="157" t="s">
        <v>155</v>
      </c>
      <c r="B153" s="157"/>
      <c r="C153" s="157"/>
      <c r="D153" s="157"/>
      <c r="E153" s="157"/>
      <c r="F153" s="157"/>
      <c r="G153" s="157"/>
      <c r="H153" s="157"/>
    </row>
    <row r="154" spans="1:8" s="40" customFormat="1" ht="23.25" customHeight="1">
      <c r="A154" s="157" t="s">
        <v>201</v>
      </c>
      <c r="B154" s="157"/>
      <c r="C154" s="157"/>
      <c r="D154" s="157"/>
      <c r="E154" s="157"/>
      <c r="F154" s="157"/>
      <c r="G154" s="157"/>
      <c r="H154" s="157"/>
    </row>
    <row r="155" spans="1:8" s="40" customFormat="1" ht="21.75" customHeight="1">
      <c r="A155" s="157" t="s">
        <v>158</v>
      </c>
      <c r="B155" s="157"/>
      <c r="C155" s="157"/>
      <c r="D155" s="157"/>
      <c r="E155" s="157"/>
      <c r="F155" s="157"/>
      <c r="G155" s="157"/>
      <c r="H155" s="157"/>
    </row>
    <row r="156" spans="1:8" s="40" customFormat="1" ht="21.75" customHeight="1">
      <c r="A156" s="85"/>
      <c r="B156" s="85"/>
      <c r="C156" s="85"/>
      <c r="D156" s="85"/>
      <c r="E156" s="85"/>
      <c r="F156" s="85"/>
      <c r="G156" s="85"/>
      <c r="H156" s="85"/>
    </row>
    <row r="157" spans="1:8" s="104" customFormat="1" ht="29.25" customHeight="1">
      <c r="A157" s="154" t="s">
        <v>202</v>
      </c>
      <c r="B157" s="154"/>
      <c r="C157" s="154"/>
      <c r="D157" s="154"/>
      <c r="E157" s="154"/>
      <c r="F157" s="154"/>
      <c r="G157" s="154"/>
      <c r="H157" s="154"/>
    </row>
    <row r="158" spans="1:8" s="104" customFormat="1" ht="29.25" customHeight="1">
      <c r="A158" s="154" t="s">
        <v>159</v>
      </c>
      <c r="B158" s="154"/>
      <c r="C158" s="154"/>
      <c r="D158" s="154"/>
      <c r="E158" s="154"/>
      <c r="F158" s="154"/>
      <c r="G158" s="154"/>
      <c r="H158" s="154"/>
    </row>
    <row r="159" spans="1:8" s="40" customFormat="1" ht="18.75">
      <c r="A159" s="85" t="s">
        <v>153</v>
      </c>
      <c r="B159" s="86"/>
      <c r="C159" s="86"/>
      <c r="D159" s="86"/>
      <c r="E159" s="86"/>
      <c r="F159" s="86"/>
      <c r="G159" s="86"/>
      <c r="H159" s="86"/>
    </row>
    <row r="160" spans="1:8" s="40" customFormat="1" ht="18.75">
      <c r="A160" s="156"/>
      <c r="B160" s="157"/>
      <c r="C160" s="157"/>
      <c r="D160" s="157"/>
      <c r="E160" s="157"/>
      <c r="F160" s="157"/>
      <c r="G160" s="157"/>
      <c r="H160" s="157"/>
    </row>
    <row r="161" spans="1:8" ht="15.75">
      <c r="A161" s="44" t="s">
        <v>154</v>
      </c>
      <c r="B161" s="87"/>
      <c r="C161" s="87"/>
      <c r="D161" s="87"/>
      <c r="E161" s="87"/>
      <c r="F161" s="87"/>
      <c r="G161" s="87"/>
      <c r="H161" s="87"/>
    </row>
  </sheetData>
  <sheetProtection/>
  <mergeCells count="44">
    <mergeCell ref="G18:G19"/>
    <mergeCell ref="E18:E19"/>
    <mergeCell ref="D18:D19"/>
    <mergeCell ref="H18:H19"/>
    <mergeCell ref="A157:H157"/>
    <mergeCell ref="B88:B89"/>
    <mergeCell ref="C88:C89"/>
    <mergeCell ref="D88:D89"/>
    <mergeCell ref="A158:H158"/>
    <mergeCell ref="A160:H160"/>
    <mergeCell ref="A10:H10"/>
    <mergeCell ref="A151:H151"/>
    <mergeCell ref="A152:H152"/>
    <mergeCell ref="A153:H153"/>
    <mergeCell ref="A154:H154"/>
    <mergeCell ref="A155:H155"/>
    <mergeCell ref="G88:G89"/>
    <mergeCell ref="H88:H89"/>
    <mergeCell ref="F1:H1"/>
    <mergeCell ref="A2:H2"/>
    <mergeCell ref="A3:H3"/>
    <mergeCell ref="A5:H5"/>
    <mergeCell ref="A7:H7"/>
    <mergeCell ref="A8:H8"/>
    <mergeCell ref="A9:H9"/>
    <mergeCell ref="A81:A82"/>
    <mergeCell ref="E13:E16"/>
    <mergeCell ref="B81:B82"/>
    <mergeCell ref="A84:A85"/>
    <mergeCell ref="B84:B85"/>
    <mergeCell ref="B18:B19"/>
    <mergeCell ref="A18:A19"/>
    <mergeCell ref="H13:H16"/>
    <mergeCell ref="C18:C19"/>
    <mergeCell ref="F14:F16"/>
    <mergeCell ref="E88:E89"/>
    <mergeCell ref="F88:F89"/>
    <mergeCell ref="A11:H11"/>
    <mergeCell ref="A12:H12"/>
    <mergeCell ref="A13:A16"/>
    <mergeCell ref="B13:B16"/>
    <mergeCell ref="C13:C16"/>
    <mergeCell ref="D13:D16"/>
    <mergeCell ref="G13:G16"/>
  </mergeCells>
  <printOptions horizontalCentered="1"/>
  <pageMargins left="0.5511811023622047" right="0.1968503937007874" top="0.1968503937007874" bottom="0.1968503937007874" header="0.1968503937007874" footer="0.1968503937007874"/>
  <pageSetup fitToHeight="2" horizontalDpi="600" verticalDpi="600" orientation="landscape" paperSize="9" scale="75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ТАТЭК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Недушенко</dc:creator>
  <cp:keywords/>
  <dc:description/>
  <cp:lastModifiedBy>User</cp:lastModifiedBy>
  <cp:lastPrinted>2017-04-22T04:35:51Z</cp:lastPrinted>
  <dcterms:created xsi:type="dcterms:W3CDTF">2001-11-28T06:38:19Z</dcterms:created>
  <dcterms:modified xsi:type="dcterms:W3CDTF">2018-11-19T08:39:01Z</dcterms:modified>
  <cp:category/>
  <cp:version/>
  <cp:contentType/>
  <cp:contentStatus/>
</cp:coreProperties>
</file>