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исполн тар смет.за 2019 6 м (х " sheetId="1" r:id="rId1"/>
  </sheets>
  <externalReferences>
    <externalReference r:id="rId2"/>
  </externalReferences>
  <definedNames>
    <definedName name="_xlnm.Print_Area" localSheetId="0">'исполн тар смет.за 2019 6 м (х '!$A$1:$H$156</definedName>
  </definedNames>
  <calcPr calcId="145621"/>
</workbook>
</file>

<file path=xl/calcChain.xml><?xml version="1.0" encoding="utf-8"?>
<calcChain xmlns="http://schemas.openxmlformats.org/spreadsheetml/2006/main">
  <c r="D144" i="1" l="1"/>
  <c r="E141" i="1"/>
  <c r="D125" i="1"/>
  <c r="D122" i="1"/>
  <c r="D120" i="1"/>
  <c r="D117" i="1"/>
  <c r="D116" i="1"/>
  <c r="D113" i="1"/>
  <c r="D112" i="1"/>
  <c r="D111" i="1"/>
  <c r="D104" i="1"/>
  <c r="D103" i="1"/>
  <c r="D102" i="1"/>
  <c r="D141" i="1" s="1"/>
  <c r="E142" i="1" s="1"/>
  <c r="G80" i="1"/>
  <c r="F80" i="1"/>
  <c r="F79" i="1"/>
  <c r="D77" i="1"/>
  <c r="F76" i="1"/>
  <c r="E76" i="1"/>
  <c r="E77" i="1" s="1"/>
  <c r="G72" i="1"/>
  <c r="F72" i="1"/>
  <c r="G71" i="1"/>
  <c r="F71" i="1"/>
  <c r="G70" i="1"/>
  <c r="F70" i="1"/>
  <c r="E69" i="1"/>
  <c r="F69" i="1" s="1"/>
  <c r="G68" i="1"/>
  <c r="F68" i="1"/>
  <c r="E67" i="1"/>
  <c r="G67" i="1" s="1"/>
  <c r="G66" i="1"/>
  <c r="F66" i="1"/>
  <c r="G65" i="1"/>
  <c r="F65" i="1"/>
  <c r="G64" i="1"/>
  <c r="F64" i="1"/>
  <c r="G63" i="1"/>
  <c r="F63" i="1"/>
  <c r="G62" i="1"/>
  <c r="F62" i="1"/>
  <c r="G61" i="1"/>
  <c r="F61" i="1"/>
  <c r="E60" i="1"/>
  <c r="G60" i="1" s="1"/>
  <c r="D60" i="1"/>
  <c r="F59" i="1"/>
  <c r="E59" i="1"/>
  <c r="G59" i="1" s="1"/>
  <c r="E58" i="1"/>
  <c r="G58" i="1" s="1"/>
  <c r="G57" i="1"/>
  <c r="F57" i="1"/>
  <c r="G56" i="1"/>
  <c r="F56" i="1"/>
  <c r="G55" i="1"/>
  <c r="F55" i="1"/>
  <c r="E54" i="1"/>
  <c r="F54" i="1" s="1"/>
  <c r="D54" i="1"/>
  <c r="G53" i="1"/>
  <c r="F53" i="1"/>
  <c r="F52" i="1"/>
  <c r="E51" i="1"/>
  <c r="F51" i="1" s="1"/>
  <c r="F50" i="1"/>
  <c r="E50" i="1"/>
  <c r="I132" i="1" s="1"/>
  <c r="E49" i="1"/>
  <c r="F49" i="1" s="1"/>
  <c r="D49" i="1"/>
  <c r="E48" i="1"/>
  <c r="F48" i="1" s="1"/>
  <c r="D48" i="1"/>
  <c r="D73" i="1" s="1"/>
  <c r="D75" i="1" s="1"/>
  <c r="D81" i="1" s="1"/>
  <c r="E47" i="1"/>
  <c r="F47" i="1" s="1"/>
  <c r="F46" i="1"/>
  <c r="E46" i="1"/>
  <c r="G46" i="1" s="1"/>
  <c r="E45" i="1"/>
  <c r="F45" i="1" s="1"/>
  <c r="F44" i="1"/>
  <c r="E44" i="1"/>
  <c r="G44" i="1" s="1"/>
  <c r="G43" i="1"/>
  <c r="F43" i="1"/>
  <c r="G42" i="1"/>
  <c r="F42" i="1"/>
  <c r="G41" i="1"/>
  <c r="F41" i="1"/>
  <c r="E40" i="1"/>
  <c r="F40" i="1" s="1"/>
  <c r="F39" i="1"/>
  <c r="E39" i="1"/>
  <c r="G39" i="1" s="1"/>
  <c r="E38" i="1"/>
  <c r="F38" i="1" s="1"/>
  <c r="D38" i="1"/>
  <c r="G37" i="1"/>
  <c r="F37" i="1"/>
  <c r="G36" i="1"/>
  <c r="F36" i="1"/>
  <c r="F35" i="1"/>
  <c r="E35" i="1"/>
  <c r="G35" i="1" s="1"/>
  <c r="E34" i="1"/>
  <c r="F34" i="1" s="1"/>
  <c r="F33" i="1"/>
  <c r="E33" i="1"/>
  <c r="G33" i="1" s="1"/>
  <c r="E32" i="1"/>
  <c r="K59" i="1" s="1"/>
  <c r="K61" i="1" s="1"/>
  <c r="D31" i="1"/>
  <c r="F30" i="1"/>
  <c r="E30" i="1"/>
  <c r="G30" i="1" s="1"/>
  <c r="E29" i="1"/>
  <c r="F29" i="1" s="1"/>
  <c r="D29" i="1"/>
  <c r="K28" i="1"/>
  <c r="M28" i="1" s="1"/>
  <c r="E28" i="1"/>
  <c r="F28" i="1" s="1"/>
  <c r="K27" i="1"/>
  <c r="E27" i="1"/>
  <c r="F27" i="1" s="1"/>
  <c r="E26" i="1"/>
  <c r="G26" i="1" s="1"/>
  <c r="D26" i="1"/>
  <c r="F25" i="1"/>
  <c r="G24" i="1"/>
  <c r="F24" i="1"/>
  <c r="G23" i="1"/>
  <c r="F23" i="1"/>
  <c r="E22" i="1"/>
  <c r="F22" i="1" s="1"/>
  <c r="E21" i="1"/>
  <c r="G21" i="1" s="1"/>
  <c r="E19" i="1"/>
  <c r="F19" i="1" s="1"/>
  <c r="D19" i="1"/>
  <c r="D18" i="1"/>
  <c r="F26" i="1" l="1"/>
  <c r="F77" i="1"/>
  <c r="D145" i="1"/>
  <c r="G19" i="1"/>
  <c r="F21" i="1"/>
  <c r="G22" i="1"/>
  <c r="G27" i="1"/>
  <c r="G28" i="1"/>
  <c r="G29" i="1"/>
  <c r="G32" i="1"/>
  <c r="G34" i="1"/>
  <c r="N35" i="1"/>
  <c r="G38" i="1"/>
  <c r="G40" i="1"/>
  <c r="G45" i="1"/>
  <c r="G47" i="1"/>
  <c r="G48" i="1"/>
  <c r="G49" i="1"/>
  <c r="G51" i="1"/>
  <c r="I52" i="1"/>
  <c r="G54" i="1"/>
  <c r="F58" i="1"/>
  <c r="F60" i="1"/>
  <c r="F67" i="1"/>
  <c r="G69" i="1"/>
  <c r="I134" i="1"/>
  <c r="E31" i="1"/>
  <c r="F32" i="1"/>
  <c r="G50" i="1"/>
  <c r="G31" i="1" l="1"/>
  <c r="F31" i="1"/>
  <c r="F18" i="1" s="1"/>
  <c r="E18" i="1"/>
  <c r="G18" i="1" l="1"/>
  <c r="E144" i="1"/>
  <c r="F145" i="1" s="1"/>
  <c r="H145" i="1" s="1"/>
  <c r="E73" i="1"/>
  <c r="E75" i="1" l="1"/>
  <c r="F73" i="1"/>
  <c r="E81" i="1" l="1"/>
  <c r="F81" i="1" s="1"/>
  <c r="F75" i="1"/>
  <c r="E78" i="1"/>
  <c r="F78" i="1" l="1"/>
  <c r="E143" i="1"/>
</calcChain>
</file>

<file path=xl/comments1.xml><?xml version="1.0" encoding="utf-8"?>
<comments xmlns="http://schemas.openxmlformats.org/spreadsheetml/2006/main">
  <authors>
    <author>User</author>
  </authors>
  <commentList>
    <comment ref="D132" author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с ОСВ вставим</t>
        </r>
      </text>
    </comment>
  </commentList>
</comments>
</file>

<file path=xl/sharedStrings.xml><?xml version="1.0" encoding="utf-8"?>
<sst xmlns="http://schemas.openxmlformats.org/spreadsheetml/2006/main" count="314" uniqueCount="196">
  <si>
    <t>Приложение 1
к Правилам утверждения
предельного уровня тарифов
(цен, ставок сборов) и тарифных
смет на регулируемые услуги
(товары, работы) субъектов
естественных монополий</t>
  </si>
  <si>
    <t xml:space="preserve">Сведения о ходе исполнения тарифной сметы на услуги по передаче и распределению электрической энергии          АО "ТАТЭК" </t>
  </si>
  <si>
    <t>Отчетный период 2019 год (по состоянию на 01.06.2019 год)</t>
  </si>
  <si>
    <t>№  п/п</t>
  </si>
  <si>
    <t>Наименование показателей</t>
  </si>
  <si>
    <t>Единицы измерения</t>
  </si>
  <si>
    <t>Предусмотрено в утвержденной тарифной смете за 2019 год</t>
  </si>
  <si>
    <t>Фактические сложившиеся показателей тарифной сметы за  5 мес.2019</t>
  </si>
  <si>
    <t>абсолют    гр 6/гр 4</t>
  </si>
  <si>
    <t>отклонение в %</t>
  </si>
  <si>
    <t xml:space="preserve">   Причины отклонения</t>
  </si>
  <si>
    <t>I.</t>
  </si>
  <si>
    <t>Затраты на производство товаров и предоставление услуг, в том числе:</t>
  </si>
  <si>
    <t>тыс.тенге</t>
  </si>
  <si>
    <t>1.</t>
  </si>
  <si>
    <t>Материальные затраты, всего</t>
  </si>
  <si>
    <t>в том числе:</t>
  </si>
  <si>
    <t>1*2</t>
  </si>
  <si>
    <t>сырье и материалы</t>
  </si>
  <si>
    <t>1*3</t>
  </si>
  <si>
    <t>покупные изделия(эл.энергия потери) в т.ч.</t>
  </si>
  <si>
    <t>1*4</t>
  </si>
  <si>
    <t>ГСМ</t>
  </si>
  <si>
    <t>1*5</t>
  </si>
  <si>
    <t>топливо</t>
  </si>
  <si>
    <t>1*7</t>
  </si>
  <si>
    <t xml:space="preserve">услуги по поддержанию готовности электрической мощности </t>
  </si>
  <si>
    <t>2.</t>
  </si>
  <si>
    <t xml:space="preserve">Затраты на оплату труда, в том числе </t>
  </si>
  <si>
    <t>2*1</t>
  </si>
  <si>
    <t>заработная плата</t>
  </si>
  <si>
    <t>2*2</t>
  </si>
  <si>
    <t>социальный налог</t>
  </si>
  <si>
    <t>и.д</t>
  </si>
  <si>
    <t>2*3</t>
  </si>
  <si>
    <t>социальное страхование</t>
  </si>
  <si>
    <t>3.</t>
  </si>
  <si>
    <t>Амортизация</t>
  </si>
  <si>
    <t>4.</t>
  </si>
  <si>
    <t>Ремонт, всего</t>
  </si>
  <si>
    <t>одной строкой</t>
  </si>
  <si>
    <t>рем ф</t>
  </si>
  <si>
    <t>для арема</t>
  </si>
  <si>
    <t>командировочные</t>
  </si>
  <si>
    <t>материалы</t>
  </si>
  <si>
    <t>подряд</t>
  </si>
  <si>
    <t>э/энергия на прожиг</t>
  </si>
  <si>
    <t>возврат материалов</t>
  </si>
  <si>
    <t>5.</t>
  </si>
  <si>
    <t>Прочие затраты</t>
  </si>
  <si>
    <t>5*1</t>
  </si>
  <si>
    <t>привлечение автотранспорта</t>
  </si>
  <si>
    <t>5*2</t>
  </si>
  <si>
    <t>услуги охраны труда и тех.безопасности</t>
  </si>
  <si>
    <t>1748 в вне.вед.ох</t>
  </si>
  <si>
    <t>5*3</t>
  </si>
  <si>
    <t>водоснабжение и канализация</t>
  </si>
  <si>
    <t>5*4</t>
  </si>
  <si>
    <t>отопление и г/вс</t>
  </si>
  <si>
    <t>5*5</t>
  </si>
  <si>
    <t>арендная плата</t>
  </si>
  <si>
    <t>5*6</t>
  </si>
  <si>
    <t xml:space="preserve">повышение квалификации </t>
  </si>
  <si>
    <t>5*7</t>
  </si>
  <si>
    <t>обязательные   виды страхования</t>
  </si>
  <si>
    <t>5*8</t>
  </si>
  <si>
    <t>дезобработка</t>
  </si>
  <si>
    <t>5*9</t>
  </si>
  <si>
    <t>командировочные расходы</t>
  </si>
  <si>
    <t>II.</t>
  </si>
  <si>
    <t>Расходы периода,всего</t>
  </si>
  <si>
    <t>6.</t>
  </si>
  <si>
    <t>Общие и административные расходы,в.т.ч.</t>
  </si>
  <si>
    <t>6*1</t>
  </si>
  <si>
    <t>Заработная плата администра.персонала</t>
  </si>
  <si>
    <t>6*2</t>
  </si>
  <si>
    <t>6*3</t>
  </si>
  <si>
    <t>социальное страхования</t>
  </si>
  <si>
    <t>налоговые платежи  и сборы</t>
  </si>
  <si>
    <t>прочие расходы</t>
  </si>
  <si>
    <t>7*1</t>
  </si>
  <si>
    <t>представительские расходы</t>
  </si>
  <si>
    <t>7*2</t>
  </si>
  <si>
    <t>услуги связи</t>
  </si>
  <si>
    <t>7*3</t>
  </si>
  <si>
    <t>оплата аудиторских и юр. услуг</t>
  </si>
  <si>
    <t>7*4</t>
  </si>
  <si>
    <t>услуги банка</t>
  </si>
  <si>
    <t>Другие расходы всего в том числе</t>
  </si>
  <si>
    <t>8*1</t>
  </si>
  <si>
    <t>вневедомственная охрана</t>
  </si>
  <si>
    <t>8*2</t>
  </si>
  <si>
    <t>госэнергоэкспертиза</t>
  </si>
  <si>
    <t>8*3</t>
  </si>
  <si>
    <t>канцелярские товары</t>
  </si>
  <si>
    <t>8*4</t>
  </si>
  <si>
    <t>экология</t>
  </si>
  <si>
    <t>8*5</t>
  </si>
  <si>
    <t>метрология</t>
  </si>
  <si>
    <t>8*7</t>
  </si>
  <si>
    <t>почтовая связь</t>
  </si>
  <si>
    <t>8*8</t>
  </si>
  <si>
    <t>публикация обьявлений</t>
  </si>
  <si>
    <t>8*9</t>
  </si>
  <si>
    <t>ремонт и обслуживание оргтехники,расх мат .</t>
  </si>
  <si>
    <t>8*10</t>
  </si>
  <si>
    <t>техосмотр автотранспорта</t>
  </si>
  <si>
    <t>8*11</t>
  </si>
  <si>
    <t>типографские</t>
  </si>
  <si>
    <t>8*13</t>
  </si>
  <si>
    <t>услуги  регистратора</t>
  </si>
  <si>
    <t>8*14</t>
  </si>
  <si>
    <t>обеспечение программы</t>
  </si>
  <si>
    <t>III</t>
  </si>
  <si>
    <t>Всего затрат на предоставление услуг</t>
  </si>
  <si>
    <t>Необоснованно полученный доход</t>
  </si>
  <si>
    <t>Y</t>
  </si>
  <si>
    <t>Всего доход</t>
  </si>
  <si>
    <t>YII</t>
  </si>
  <si>
    <t>Обьем оказываемых услуг реализации</t>
  </si>
  <si>
    <t>тыс.кВт.ч</t>
  </si>
  <si>
    <t>YIII</t>
  </si>
  <si>
    <r>
      <t>нормативные потери</t>
    </r>
    <r>
      <rPr>
        <sz val="10"/>
        <rFont val="Times New Roman"/>
        <family val="1"/>
        <charset val="204"/>
      </rPr>
      <t xml:space="preserve"> </t>
    </r>
  </si>
  <si>
    <t>%</t>
  </si>
  <si>
    <t>IX</t>
  </si>
  <si>
    <t>Тариф за 1квтч без НДС</t>
  </si>
  <si>
    <t>тенге</t>
  </si>
  <si>
    <t>Доходы</t>
  </si>
  <si>
    <t>Расходы</t>
  </si>
  <si>
    <t>Прочие доходы и расходы не входящие в  исполнение тарифной сметы:</t>
  </si>
  <si>
    <t>командировочные  ЧСД</t>
  </si>
  <si>
    <t>ФОТ ЧСД соц нал.</t>
  </si>
  <si>
    <t>ЗП иная</t>
  </si>
  <si>
    <t>соц.нал иная</t>
  </si>
  <si>
    <t>списание реал  основных средств</t>
  </si>
  <si>
    <t>мат  на иную деятельность</t>
  </si>
  <si>
    <t>командировочные на иную деятельность</t>
  </si>
  <si>
    <t>расходы по реал.прод.и оказ.усл</t>
  </si>
  <si>
    <t>ГСМ на иную деятельность</t>
  </si>
  <si>
    <t>амортизация иная</t>
  </si>
  <si>
    <t>Членские взносы КЭА и спон.пом.на изготовл.знаков</t>
  </si>
  <si>
    <t>добровольное страхования</t>
  </si>
  <si>
    <t>Доход от безвозмездно полученных активов</t>
  </si>
  <si>
    <t>Гос пошлина ,пеня и штрафы</t>
  </si>
  <si>
    <t>доплаты за спм</t>
  </si>
  <si>
    <t>аренда земельного участка</t>
  </si>
  <si>
    <t>аренда помещении,</t>
  </si>
  <si>
    <t>аренда транспорта</t>
  </si>
  <si>
    <t>обслуживание оборудования ведомост.подстан напр-ием 10/35/110Кв</t>
  </si>
  <si>
    <t>об кас аппар</t>
  </si>
  <si>
    <t>за установку РЛНД-10кВ и подключение шлейфа</t>
  </si>
  <si>
    <t>монтаж КТП 10/0,4 кВ</t>
  </si>
  <si>
    <t>З/плата по изг. Металлоизд  иной деят</t>
  </si>
  <si>
    <t>отчисление соц налога (от з/пл иной деятельности)</t>
  </si>
  <si>
    <t>замена ввода 2 проводов и 4 проводов</t>
  </si>
  <si>
    <t>Замена и монтажа 1-ф,2 ф и 3 ф счетчик</t>
  </si>
  <si>
    <t xml:space="preserve"> повторное подключение</t>
  </si>
  <si>
    <t>реактивная мощность</t>
  </si>
  <si>
    <t>автоуслуги (иной деят)груз  ар спец тех</t>
  </si>
  <si>
    <t>монтаж и испытание кабельной линии и воостнов</t>
  </si>
  <si>
    <t xml:space="preserve">техническое  обслуживание </t>
  </si>
  <si>
    <t>ремонт и испыт.трансформатора</t>
  </si>
  <si>
    <t>Прочие -проект.раб</t>
  </si>
  <si>
    <t>испытание защитных средств</t>
  </si>
  <si>
    <t>Строительно монтажные работы</t>
  </si>
  <si>
    <t>Испытание электрооборуд.</t>
  </si>
  <si>
    <t>Услуги столярного цеха</t>
  </si>
  <si>
    <t>Организация системы передачи данных АСКУЭ</t>
  </si>
  <si>
    <t xml:space="preserve"> от прочих реализации </t>
  </si>
  <si>
    <t>возмещение ущерба</t>
  </si>
  <si>
    <t>доступ к пакету тендерной информации</t>
  </si>
  <si>
    <t>Расходы по культ мероп</t>
  </si>
  <si>
    <t>Расходы по оформ.зем.уч.</t>
  </si>
  <si>
    <t>Взнос за участие в соревнование</t>
  </si>
  <si>
    <t>Канцелярские  и типографские товары иная</t>
  </si>
  <si>
    <t>доход по вознограждениям</t>
  </si>
  <si>
    <t xml:space="preserve">снятие показания счетчика </t>
  </si>
  <si>
    <t>прочие услуги</t>
  </si>
  <si>
    <t>Прочие ФОТ Дружба</t>
  </si>
  <si>
    <t xml:space="preserve">Прочие ФОТ </t>
  </si>
  <si>
    <t>отчисление соц налога ( иной деятельности)</t>
  </si>
  <si>
    <t>услуги по оценке</t>
  </si>
  <si>
    <t>курсовая разница</t>
  </si>
  <si>
    <t>Услуги гео.геодезическая раб.иная</t>
  </si>
  <si>
    <t>Итого по разделу II</t>
  </si>
  <si>
    <t>Прибыль (+), убыток (-) по II разделу</t>
  </si>
  <si>
    <t>Общая прибыль(+) ( по разделу I и II)</t>
  </si>
  <si>
    <t>Наименование организации : АО "ТАТЭК"</t>
  </si>
  <si>
    <t>Адрес:  г.Талдыкорган ул Абылайхана 274</t>
  </si>
  <si>
    <t>Телефон : 23-33-46</t>
  </si>
  <si>
    <r>
      <t>Адрес электронной почты :</t>
    </r>
    <r>
      <rPr>
        <u/>
        <sz val="14"/>
        <color indexed="8"/>
        <rFont val="Times New Roman"/>
        <family val="1"/>
        <charset val="204"/>
      </rPr>
      <t xml:space="preserve"> tatek_peo@mail ru</t>
    </r>
  </si>
  <si>
    <t>Фамилия и телефон исполнителя: Қудайбергенова М. К. 23-33-46 вн 3-56</t>
  </si>
  <si>
    <t>Председатель Правления                                                              Демидов С.</t>
  </si>
  <si>
    <t>Зам.Председателя Правления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экономике и финансам                                                           Адамбекова Г.Е.</t>
  </si>
  <si>
    <t> 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</si>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</sst>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4"/>
      <name val="Arial Cyr"/>
      <charset val="204"/>
    </font>
    <font>
      <u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164" fontId="6" fillId="0" borderId="0" xfId="0" applyNumberFormat="1" applyFont="1" applyBorder="1" applyAlignment="1"/>
    <xf numFmtId="164" fontId="7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/>
    </xf>
    <xf numFmtId="1" fontId="9" fillId="0" borderId="14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left"/>
    </xf>
    <xf numFmtId="164" fontId="7" fillId="0" borderId="6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165" fontId="1" fillId="0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/>
    <xf numFmtId="165" fontId="1" fillId="2" borderId="6" xfId="0" applyNumberFormat="1" applyFont="1" applyFill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 wrapText="1"/>
    </xf>
    <xf numFmtId="0" fontId="0" fillId="4" borderId="0" xfId="0" applyFill="1"/>
    <xf numFmtId="165" fontId="11" fillId="2" borderId="6" xfId="0" applyNumberFormat="1" applyFont="1" applyFill="1" applyBorder="1" applyAlignment="1">
      <alignment horizontal="center" vertical="center"/>
    </xf>
    <xf numFmtId="166" fontId="11" fillId="3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left"/>
    </xf>
    <xf numFmtId="164" fontId="1" fillId="0" borderId="6" xfId="0" applyNumberFormat="1" applyFont="1" applyBorder="1" applyAlignment="1">
      <alignment wrapText="1"/>
    </xf>
    <xf numFmtId="164" fontId="7" fillId="0" borderId="6" xfId="0" applyNumberFormat="1" applyFont="1" applyBorder="1"/>
    <xf numFmtId="165" fontId="7" fillId="2" borderId="6" xfId="0" applyNumberFormat="1" applyFont="1" applyFill="1" applyBorder="1" applyAlignment="1">
      <alignment horizontal="center" vertical="center"/>
    </xf>
    <xf numFmtId="165" fontId="7" fillId="3" borderId="6" xfId="0" applyNumberFormat="1" applyFont="1" applyFill="1" applyBorder="1" applyAlignment="1">
      <alignment horizontal="center" vertical="center"/>
    </xf>
    <xf numFmtId="165" fontId="1" fillId="0" borderId="8" xfId="0" applyNumberFormat="1" applyFont="1" applyBorder="1" applyAlignment="1">
      <alignment vertical="center"/>
    </xf>
    <xf numFmtId="164" fontId="0" fillId="0" borderId="0" xfId="0" applyNumberFormat="1"/>
    <xf numFmtId="0" fontId="0" fillId="5" borderId="0" xfId="0" applyFill="1"/>
    <xf numFmtId="164" fontId="0" fillId="6" borderId="0" xfId="0" applyNumberFormat="1" applyFill="1"/>
    <xf numFmtId="164" fontId="7" fillId="0" borderId="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4" fontId="12" fillId="0" borderId="5" xfId="0" applyNumberFormat="1" applyFont="1" applyBorder="1" applyAlignment="1">
      <alignment horizontal="center" vertical="center"/>
    </xf>
    <xf numFmtId="164" fontId="0" fillId="7" borderId="0" xfId="0" applyNumberFormat="1" applyFill="1"/>
    <xf numFmtId="165" fontId="0" fillId="0" borderId="0" xfId="0" applyNumberFormat="1"/>
    <xf numFmtId="0" fontId="0" fillId="8" borderId="0" xfId="0" applyFill="1"/>
    <xf numFmtId="164" fontId="0" fillId="9" borderId="0" xfId="0" applyNumberFormat="1" applyFill="1"/>
    <xf numFmtId="164" fontId="1" fillId="0" borderId="6" xfId="0" applyNumberFormat="1" applyFont="1" applyBorder="1" applyAlignment="1">
      <alignment vertical="center"/>
    </xf>
    <xf numFmtId="164" fontId="0" fillId="9" borderId="0" xfId="0" applyNumberFormat="1" applyFill="1" applyAlignment="1">
      <alignment vertical="center"/>
    </xf>
    <xf numFmtId="0" fontId="0" fillId="10" borderId="0" xfId="0" applyFill="1" applyAlignment="1">
      <alignment vertical="center"/>
    </xf>
    <xf numFmtId="0" fontId="0" fillId="11" borderId="0" xfId="0" applyFill="1"/>
    <xf numFmtId="0" fontId="0" fillId="12" borderId="0" xfId="0" applyFill="1"/>
    <xf numFmtId="164" fontId="0" fillId="13" borderId="0" xfId="0" applyNumberFormat="1" applyFill="1"/>
    <xf numFmtId="164" fontId="0" fillId="14" borderId="0" xfId="0" applyNumberFormat="1" applyFill="1"/>
    <xf numFmtId="164" fontId="10" fillId="0" borderId="8" xfId="0" applyNumberFormat="1" applyFont="1" applyBorder="1" applyAlignment="1">
      <alignment vertical="center"/>
    </xf>
    <xf numFmtId="164" fontId="0" fillId="15" borderId="0" xfId="0" applyNumberFormat="1" applyFill="1"/>
    <xf numFmtId="0" fontId="7" fillId="0" borderId="5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left"/>
    </xf>
    <xf numFmtId="164" fontId="1" fillId="0" borderId="8" xfId="0" applyNumberFormat="1" applyFont="1" applyBorder="1" applyAlignment="1">
      <alignment horizontal="left" vertical="center"/>
    </xf>
    <xf numFmtId="0" fontId="0" fillId="6" borderId="0" xfId="0" applyFill="1"/>
    <xf numFmtId="164" fontId="1" fillId="0" borderId="6" xfId="0" applyNumberFormat="1" applyFont="1" applyBorder="1" applyAlignment="1">
      <alignment horizontal="left" vertical="center"/>
    </xf>
    <xf numFmtId="0" fontId="0" fillId="7" borderId="0" xfId="0" applyFill="1"/>
    <xf numFmtId="0" fontId="0" fillId="16" borderId="0" xfId="0" applyFill="1"/>
    <xf numFmtId="0" fontId="0" fillId="15" borderId="0" xfId="0" applyFill="1"/>
    <xf numFmtId="164" fontId="0" fillId="17" borderId="0" xfId="0" applyNumberFormat="1" applyFill="1"/>
    <xf numFmtId="164" fontId="10" fillId="0" borderId="8" xfId="0" applyNumberFormat="1" applyFont="1" applyBorder="1" applyAlignment="1">
      <alignment vertical="center" wrapText="1"/>
    </xf>
    <xf numFmtId="165" fontId="0" fillId="18" borderId="0" xfId="0" applyNumberFormat="1" applyFill="1"/>
    <xf numFmtId="1" fontId="7" fillId="0" borderId="5" xfId="0" applyNumberFormat="1" applyFont="1" applyBorder="1" applyAlignment="1">
      <alignment horizontal="center" vertical="center"/>
    </xf>
    <xf numFmtId="0" fontId="0" fillId="18" borderId="0" xfId="0" applyFill="1"/>
    <xf numFmtId="0" fontId="0" fillId="10" borderId="0" xfId="0" applyFill="1"/>
    <xf numFmtId="0" fontId="0" fillId="19" borderId="0" xfId="0" applyFill="1"/>
    <xf numFmtId="0" fontId="0" fillId="17" borderId="0" xfId="0" applyFill="1"/>
    <xf numFmtId="0" fontId="0" fillId="20" borderId="0" xfId="0" applyFill="1"/>
    <xf numFmtId="0" fontId="0" fillId="13" borderId="0" xfId="0" applyFill="1"/>
    <xf numFmtId="3" fontId="7" fillId="2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justify"/>
    </xf>
    <xf numFmtId="165" fontId="1" fillId="0" borderId="8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left" vertical="center" wrapText="1"/>
    </xf>
    <xf numFmtId="165" fontId="13" fillId="2" borderId="6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vertical="center"/>
    </xf>
    <xf numFmtId="4" fontId="0" fillId="0" borderId="0" xfId="0" applyNumberFormat="1"/>
    <xf numFmtId="164" fontId="7" fillId="0" borderId="6" xfId="0" applyNumberFormat="1" applyFont="1" applyFill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justify"/>
    </xf>
    <xf numFmtId="164" fontId="7" fillId="0" borderId="10" xfId="0" applyNumberFormat="1" applyFont="1" applyBorder="1" applyAlignment="1">
      <alignment horizontal="center"/>
    </xf>
    <xf numFmtId="2" fontId="7" fillId="0" borderId="10" xfId="0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justify"/>
    </xf>
    <xf numFmtId="0" fontId="1" fillId="0" borderId="14" xfId="0" applyFont="1" applyBorder="1"/>
    <xf numFmtId="0" fontId="7" fillId="0" borderId="14" xfId="0" applyFont="1" applyBorder="1" applyAlignment="1">
      <alignment vertical="center"/>
    </xf>
    <xf numFmtId="164" fontId="7" fillId="0" borderId="14" xfId="0" applyNumberFormat="1" applyFont="1" applyFill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7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/>
    <xf numFmtId="0" fontId="14" fillId="0" borderId="6" xfId="0" applyFont="1" applyFill="1" applyBorder="1" applyAlignment="1">
      <alignment horizontal="center" vertical="center"/>
    </xf>
    <xf numFmtId="164" fontId="1" fillId="21" borderId="6" xfId="0" applyNumberFormat="1" applyFont="1" applyFill="1" applyBorder="1" applyAlignment="1">
      <alignment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1" fillId="22" borderId="6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23" borderId="0" xfId="0" applyFill="1"/>
    <xf numFmtId="0" fontId="7" fillId="0" borderId="6" xfId="0" applyFont="1" applyFill="1" applyBorder="1" applyAlignment="1">
      <alignment vertical="center"/>
    </xf>
    <xf numFmtId="0" fontId="0" fillId="14" borderId="0" xfId="0" applyFill="1"/>
    <xf numFmtId="4" fontId="1" fillId="21" borderId="6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/>
    </xf>
    <xf numFmtId="164" fontId="1" fillId="22" borderId="6" xfId="0" applyNumberFormat="1" applyFont="1" applyFill="1" applyBorder="1" applyAlignment="1">
      <alignment vertical="center"/>
    </xf>
    <xf numFmtId="1" fontId="7" fillId="0" borderId="6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center" vertical="center"/>
    </xf>
    <xf numFmtId="4" fontId="7" fillId="22" borderId="6" xfId="0" applyNumberFormat="1" applyFont="1" applyFill="1" applyBorder="1" applyAlignment="1">
      <alignment vertical="center"/>
    </xf>
    <xf numFmtId="4" fontId="1" fillId="22" borderId="6" xfId="0" applyNumberFormat="1" applyFont="1" applyFill="1" applyBorder="1" applyAlignment="1">
      <alignment vertical="center"/>
    </xf>
    <xf numFmtId="0" fontId="1" fillId="0" borderId="6" xfId="0" applyFont="1" applyBorder="1" applyAlignment="1">
      <alignment wrapText="1"/>
    </xf>
    <xf numFmtId="0" fontId="7" fillId="0" borderId="6" xfId="0" applyFont="1" applyBorder="1"/>
    <xf numFmtId="0" fontId="1" fillId="22" borderId="6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/>
    </xf>
    <xf numFmtId="4" fontId="1" fillId="7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vertical="center"/>
    </xf>
    <xf numFmtId="164" fontId="1" fillId="22" borderId="6" xfId="0" applyNumberFormat="1" applyFont="1" applyFill="1" applyBorder="1" applyAlignment="1">
      <alignment horizontal="right" vertical="center"/>
    </xf>
    <xf numFmtId="0" fontId="0" fillId="12" borderId="0" xfId="0" applyFill="1" applyBorder="1"/>
    <xf numFmtId="0" fontId="0" fillId="0" borderId="0" xfId="0" applyBorder="1"/>
    <xf numFmtId="4" fontId="10" fillId="7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/>
    <xf numFmtId="4" fontId="10" fillId="0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64" fontId="15" fillId="0" borderId="0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164" fontId="7" fillId="0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6" xfId="0" applyNumberFormat="1" applyFont="1" applyBorder="1" applyAlignment="1">
      <alignment vertical="center"/>
    </xf>
    <xf numFmtId="4" fontId="1" fillId="22" borderId="6" xfId="0" applyNumberFormat="1" applyFont="1" applyFill="1" applyBorder="1" applyAlignment="1">
      <alignment horizontal="right" vertical="center"/>
    </xf>
    <xf numFmtId="0" fontId="15" fillId="17" borderId="6" xfId="0" applyFont="1" applyFill="1" applyBorder="1" applyAlignment="1">
      <alignment horizontal="right" vertical="center"/>
    </xf>
    <xf numFmtId="0" fontId="7" fillId="17" borderId="6" xfId="0" applyFont="1" applyFill="1" applyBorder="1" applyAlignment="1">
      <alignment horizontal="right" vertical="center"/>
    </xf>
    <xf numFmtId="0" fontId="1" fillId="0" borderId="6" xfId="0" applyFont="1" applyBorder="1" applyAlignment="1">
      <alignment horizontal="left"/>
    </xf>
    <xf numFmtId="0" fontId="15" fillId="0" borderId="6" xfId="0" applyFont="1" applyFill="1" applyBorder="1" applyAlignment="1">
      <alignment horizontal="right" vertical="center"/>
    </xf>
    <xf numFmtId="4" fontId="1" fillId="12" borderId="6" xfId="0" applyNumberFormat="1" applyFont="1" applyFill="1" applyBorder="1" applyAlignment="1">
      <alignment horizontal="center" vertical="center"/>
    </xf>
    <xf numFmtId="1" fontId="1" fillId="22" borderId="6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/>
    <xf numFmtId="4" fontId="7" fillId="19" borderId="6" xfId="0" applyNumberFormat="1" applyFont="1" applyFill="1" applyBorder="1" applyAlignment="1">
      <alignment vertical="center"/>
    </xf>
    <xf numFmtId="0" fontId="7" fillId="17" borderId="6" xfId="0" applyFont="1" applyFill="1" applyBorder="1" applyAlignment="1">
      <alignment vertical="center"/>
    </xf>
    <xf numFmtId="164" fontId="0" fillId="0" borderId="0" xfId="0" applyNumberFormat="1" applyBorder="1"/>
    <xf numFmtId="165" fontId="0" fillId="0" borderId="0" xfId="0" applyNumberFormat="1" applyBorder="1"/>
    <xf numFmtId="0" fontId="15" fillId="0" borderId="6" xfId="0" applyFont="1" applyFill="1" applyBorder="1" applyAlignment="1">
      <alignment vertical="center"/>
    </xf>
    <xf numFmtId="164" fontId="15" fillId="0" borderId="0" xfId="0" applyNumberFormat="1" applyFont="1" applyFill="1" applyBorder="1" applyAlignment="1"/>
    <xf numFmtId="0" fontId="15" fillId="17" borderId="6" xfId="0" applyFont="1" applyFill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165" fontId="7" fillId="0" borderId="6" xfId="0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/>
    <xf numFmtId="164" fontId="7" fillId="0" borderId="10" xfId="0" applyNumberFormat="1" applyFont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/>
    <xf numFmtId="165" fontId="13" fillId="0" borderId="0" xfId="0" applyNumberFormat="1" applyFont="1" applyBorder="1" applyAlignment="1">
      <alignment vertical="center"/>
    </xf>
    <xf numFmtId="166" fontId="7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 vertical="top"/>
    </xf>
    <xf numFmtId="0" fontId="16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justify" vertical="center"/>
    </xf>
    <xf numFmtId="0" fontId="1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40;&#1085;&#1072;&#1083;&#1080;&#1079;%20&#1079;&#1072;&#1090;&#1088;&#1072;&#1090;%20&#1080;%20&#1080;&#1089;&#1087;&#1086;&#1083;&#1085;&#1077;&#1085;&#1080;&#1077;%20&#1090;&#1072;&#1088;&#1080;&#1092;&#1085;&#1086;&#1081;%20&#1089;&#1084;&#1077;&#1090;&#1099;%20&#1079;&#1072;%202016&#1075;&#1086;&#1076;%20&#1103;&#1085;&#1074;&#1072;&#1088;&#1100;-&#1084;&#1072;&#1088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-тысбыт"/>
      <sheetName val="Лист1"/>
      <sheetName val="Лист4"/>
      <sheetName val="Лист3"/>
      <sheetName val="Лист8"/>
    </sheetNames>
    <sheetDataSet>
      <sheetData sheetId="0" refreshError="1"/>
      <sheetData sheetId="1" refreshError="1">
        <row r="1677">
          <cell r="AP1677">
            <v>0</v>
          </cell>
          <cell r="AQ167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56"/>
  <sheetViews>
    <sheetView tabSelected="1" zoomScale="110" zoomScaleNormal="110" zoomScaleSheetLayoutView="75" workbookViewId="0">
      <selection activeCell="A151" sqref="A151"/>
    </sheetView>
  </sheetViews>
  <sheetFormatPr defaultRowHeight="12.75" outlineLevelRow="1" x14ac:dyDescent="0.2"/>
  <cols>
    <col min="1" max="1" width="9.140625" style="61"/>
    <col min="2" max="2" width="41.42578125" customWidth="1"/>
    <col min="3" max="3" width="11.42578125" customWidth="1"/>
    <col min="4" max="4" width="19" style="61" customWidth="1"/>
    <col min="5" max="5" width="18.28515625" style="61" customWidth="1"/>
    <col min="6" max="6" width="12" style="61" customWidth="1"/>
    <col min="7" max="7" width="15.7109375" style="61" customWidth="1"/>
    <col min="8" max="8" width="19.7109375" style="61" customWidth="1"/>
    <col min="9" max="9" width="14.5703125" hidden="1" customWidth="1"/>
    <col min="10" max="10" width="11.85546875" hidden="1" customWidth="1"/>
    <col min="11" max="13" width="0" hidden="1" customWidth="1"/>
    <col min="14" max="14" width="12.140625" hidden="1" customWidth="1"/>
    <col min="15" max="16" width="0" hidden="1" customWidth="1"/>
    <col min="17" max="17" width="10.85546875" bestFit="1" customWidth="1"/>
  </cols>
  <sheetData>
    <row r="1" spans="1:8" ht="117" customHeight="1" x14ac:dyDescent="0.2">
      <c r="A1" s="1"/>
      <c r="B1" s="2"/>
      <c r="C1" s="2"/>
      <c r="D1" s="1"/>
      <c r="E1" s="1"/>
      <c r="F1" s="3" t="s">
        <v>0</v>
      </c>
      <c r="G1" s="3"/>
      <c r="H1" s="3"/>
    </row>
    <row r="2" spans="1:8" ht="22.5" customHeight="1" x14ac:dyDescent="0.2">
      <c r="A2" s="4"/>
      <c r="B2" s="4"/>
      <c r="C2" s="4"/>
      <c r="D2" s="4"/>
      <c r="E2" s="4"/>
      <c r="F2" s="4"/>
      <c r="G2" s="4"/>
      <c r="H2" s="4"/>
    </row>
    <row r="3" spans="1:8" ht="21" customHeight="1" x14ac:dyDescent="0.2">
      <c r="A3" s="4"/>
      <c r="B3" s="4"/>
      <c r="C3" s="4"/>
      <c r="D3" s="4"/>
      <c r="E3" s="4"/>
      <c r="F3" s="4"/>
      <c r="G3" s="4"/>
      <c r="H3" s="4"/>
    </row>
    <row r="4" spans="1:8" ht="21" customHeight="1" x14ac:dyDescent="0.2">
      <c r="A4" s="5"/>
      <c r="B4" s="5"/>
      <c r="C4" s="5"/>
      <c r="D4" s="5"/>
      <c r="E4" s="5"/>
      <c r="F4" s="5"/>
      <c r="G4" s="5"/>
      <c r="H4" s="5"/>
    </row>
    <row r="5" spans="1:8" ht="39" customHeight="1" x14ac:dyDescent="0.2">
      <c r="A5" s="6" t="s">
        <v>1</v>
      </c>
      <c r="B5" s="6"/>
      <c r="C5" s="6"/>
      <c r="D5" s="6"/>
      <c r="E5" s="6"/>
      <c r="F5" s="6"/>
      <c r="G5" s="6"/>
      <c r="H5" s="6"/>
    </row>
    <row r="6" spans="1:8" ht="22.5" customHeight="1" x14ac:dyDescent="0.2">
      <c r="A6" s="7"/>
      <c r="B6" s="7"/>
      <c r="C6" s="7"/>
      <c r="D6" s="7"/>
      <c r="E6" s="7"/>
      <c r="F6" s="7"/>
      <c r="G6" s="7"/>
      <c r="H6" s="7"/>
    </row>
    <row r="7" spans="1:8" ht="20.25" customHeight="1" x14ac:dyDescent="0.2">
      <c r="A7" s="8" t="s">
        <v>2</v>
      </c>
      <c r="B7" s="8"/>
      <c r="C7" s="8"/>
      <c r="D7" s="8"/>
      <c r="E7" s="8"/>
      <c r="F7" s="8"/>
      <c r="G7" s="8"/>
      <c r="H7" s="8"/>
    </row>
    <row r="8" spans="1:8" ht="20.25" hidden="1" customHeight="1" x14ac:dyDescent="0.2">
      <c r="A8" s="4"/>
      <c r="B8" s="4"/>
      <c r="C8" s="4"/>
      <c r="D8" s="4"/>
      <c r="E8" s="4"/>
      <c r="F8" s="4"/>
      <c r="G8" s="4"/>
      <c r="H8" s="4"/>
    </row>
    <row r="9" spans="1:8" ht="20.25" hidden="1" customHeight="1" x14ac:dyDescent="0.3">
      <c r="A9" s="9"/>
      <c r="B9" s="10"/>
      <c r="C9" s="10"/>
      <c r="D9" s="10"/>
      <c r="E9" s="10"/>
      <c r="F9" s="10"/>
      <c r="G9" s="10"/>
      <c r="H9" s="10"/>
    </row>
    <row r="10" spans="1:8" ht="37.5" hidden="1" customHeight="1" x14ac:dyDescent="0.3">
      <c r="A10" s="11"/>
      <c r="B10" s="11"/>
      <c r="C10" s="11"/>
      <c r="D10" s="11"/>
      <c r="E10" s="11"/>
      <c r="F10" s="11"/>
      <c r="G10" s="11"/>
      <c r="H10" s="11"/>
    </row>
    <row r="11" spans="1:8" ht="21" customHeight="1" x14ac:dyDescent="0.3">
      <c r="A11" s="10"/>
      <c r="B11" s="10"/>
      <c r="C11" s="10"/>
      <c r="D11" s="10"/>
      <c r="E11" s="10"/>
      <c r="F11" s="10"/>
      <c r="G11" s="10"/>
      <c r="H11" s="10"/>
    </row>
    <row r="12" spans="1:8" ht="16.5" thickBot="1" x14ac:dyDescent="0.3">
      <c r="A12" s="12"/>
      <c r="B12" s="12"/>
      <c r="C12" s="12"/>
      <c r="D12" s="12"/>
      <c r="E12" s="12"/>
      <c r="F12" s="12"/>
      <c r="G12" s="12"/>
      <c r="H12" s="12"/>
    </row>
    <row r="13" spans="1:8" ht="32.25" customHeight="1" x14ac:dyDescent="0.2">
      <c r="A13" s="13" t="s">
        <v>3</v>
      </c>
      <c r="B13" s="14" t="s">
        <v>4</v>
      </c>
      <c r="C13" s="15" t="s">
        <v>5</v>
      </c>
      <c r="D13" s="15" t="s">
        <v>6</v>
      </c>
      <c r="E13" s="15" t="s">
        <v>7</v>
      </c>
      <c r="F13" s="16" t="s">
        <v>8</v>
      </c>
      <c r="G13" s="15" t="s">
        <v>9</v>
      </c>
      <c r="H13" s="17" t="s">
        <v>10</v>
      </c>
    </row>
    <row r="14" spans="1:8" ht="12.75" customHeight="1" x14ac:dyDescent="0.2">
      <c r="A14" s="18"/>
      <c r="B14" s="19"/>
      <c r="C14" s="20"/>
      <c r="D14" s="20"/>
      <c r="E14" s="20"/>
      <c r="F14" s="21"/>
      <c r="G14" s="20"/>
      <c r="H14" s="22"/>
    </row>
    <row r="15" spans="1:8" ht="12.75" customHeight="1" x14ac:dyDescent="0.2">
      <c r="A15" s="18"/>
      <c r="B15" s="19"/>
      <c r="C15" s="20"/>
      <c r="D15" s="20"/>
      <c r="E15" s="20"/>
      <c r="F15" s="21"/>
      <c r="G15" s="20"/>
      <c r="H15" s="22"/>
    </row>
    <row r="16" spans="1:8" ht="8.25" customHeight="1" thickBot="1" x14ac:dyDescent="0.25">
      <c r="A16" s="23"/>
      <c r="B16" s="24"/>
      <c r="C16" s="25"/>
      <c r="D16" s="25"/>
      <c r="E16" s="25"/>
      <c r="F16" s="26"/>
      <c r="G16" s="25"/>
      <c r="H16" s="27"/>
    </row>
    <row r="17" spans="1:17" x14ac:dyDescent="0.2">
      <c r="A17" s="28">
        <v>1</v>
      </c>
      <c r="B17" s="29">
        <v>2</v>
      </c>
      <c r="C17" s="29">
        <v>3</v>
      </c>
      <c r="D17" s="30">
        <v>4</v>
      </c>
      <c r="E17" s="30">
        <v>5</v>
      </c>
      <c r="F17" s="30">
        <v>7</v>
      </c>
      <c r="G17" s="30">
        <v>6</v>
      </c>
      <c r="H17" s="31">
        <v>7</v>
      </c>
    </row>
    <row r="18" spans="1:17" ht="34.5" customHeight="1" x14ac:dyDescent="0.2">
      <c r="A18" s="32" t="s">
        <v>11</v>
      </c>
      <c r="B18" s="33" t="s">
        <v>12</v>
      </c>
      <c r="C18" s="34" t="s">
        <v>13</v>
      </c>
      <c r="D18" s="35">
        <f>D19+D26+D30+D31+D38</f>
        <v>3410331.4</v>
      </c>
      <c r="E18" s="35">
        <f>E19+E26+E30+E31+E38</f>
        <v>1573755.3030000001</v>
      </c>
      <c r="F18" s="35">
        <f>F19+F26+F30+F31+F38</f>
        <v>-1836576.0969999998</v>
      </c>
      <c r="G18" s="36">
        <f t="shared" ref="G18:G35" si="0">E18/D18*100</f>
        <v>46.146697150898589</v>
      </c>
      <c r="H18" s="37"/>
    </row>
    <row r="19" spans="1:17" x14ac:dyDescent="0.2">
      <c r="A19" s="32" t="s">
        <v>14</v>
      </c>
      <c r="B19" s="38" t="s">
        <v>15</v>
      </c>
      <c r="C19" s="39" t="s">
        <v>13</v>
      </c>
      <c r="D19" s="35">
        <f>SUM(D21:D25)</f>
        <v>1196059.1000000001</v>
      </c>
      <c r="E19" s="35">
        <f>SUM(E21:E24)</f>
        <v>531837.103</v>
      </c>
      <c r="F19" s="40">
        <f>E19-D19</f>
        <v>-664221.99700000009</v>
      </c>
      <c r="G19" s="36">
        <f t="shared" si="0"/>
        <v>44.46578793639879</v>
      </c>
      <c r="H19" s="41"/>
    </row>
    <row r="20" spans="1:17" x14ac:dyDescent="0.2">
      <c r="A20" s="32"/>
      <c r="B20" s="38" t="s">
        <v>16</v>
      </c>
      <c r="C20" s="39"/>
      <c r="D20" s="42"/>
      <c r="E20" s="42"/>
      <c r="F20" s="36"/>
      <c r="G20" s="36"/>
      <c r="H20" s="41"/>
    </row>
    <row r="21" spans="1:17" x14ac:dyDescent="0.2">
      <c r="A21" s="32" t="s">
        <v>17</v>
      </c>
      <c r="B21" s="43" t="s">
        <v>18</v>
      </c>
      <c r="C21" s="39" t="s">
        <v>13</v>
      </c>
      <c r="D21" s="44">
        <v>20569</v>
      </c>
      <c r="E21" s="45">
        <f>1248.1+4086+8000</f>
        <v>13334.1</v>
      </c>
      <c r="F21" s="46">
        <f>E21-D21</f>
        <v>-7234.9</v>
      </c>
      <c r="G21" s="36">
        <f t="shared" si="0"/>
        <v>64.826194759103501</v>
      </c>
      <c r="H21" s="47"/>
      <c r="I21" s="48">
        <v>-16900</v>
      </c>
    </row>
    <row r="22" spans="1:17" x14ac:dyDescent="0.2">
      <c r="A22" s="32" t="s">
        <v>19</v>
      </c>
      <c r="B22" s="43" t="s">
        <v>20</v>
      </c>
      <c r="C22" s="39"/>
      <c r="D22" s="49">
        <v>1060821.5</v>
      </c>
      <c r="E22" s="50">
        <f>E79*8.609</f>
        <v>480959.00300000003</v>
      </c>
      <c r="F22" s="46">
        <f>E22-D22</f>
        <v>-579862.49699999997</v>
      </c>
      <c r="G22" s="36">
        <f>E22/D22*100</f>
        <v>45.338353624997232</v>
      </c>
      <c r="H22" s="47"/>
      <c r="I22" s="48"/>
    </row>
    <row r="23" spans="1:17" x14ac:dyDescent="0.2">
      <c r="A23" s="32" t="s">
        <v>21</v>
      </c>
      <c r="B23" s="51" t="s">
        <v>22</v>
      </c>
      <c r="C23" s="39" t="s">
        <v>13</v>
      </c>
      <c r="D23" s="44">
        <v>47964.800000000003</v>
      </c>
      <c r="E23" s="45">
        <v>33158</v>
      </c>
      <c r="F23" s="46">
        <f>E23-D23</f>
        <v>-14806.800000000003</v>
      </c>
      <c r="G23" s="36">
        <f>E23/D23*100</f>
        <v>69.129861898725736</v>
      </c>
      <c r="H23" s="47"/>
      <c r="I23" s="48"/>
    </row>
    <row r="24" spans="1:17" x14ac:dyDescent="0.2">
      <c r="A24" s="32" t="s">
        <v>23</v>
      </c>
      <c r="B24" s="43" t="s">
        <v>24</v>
      </c>
      <c r="C24" s="39" t="s">
        <v>13</v>
      </c>
      <c r="D24" s="44">
        <v>6523.8</v>
      </c>
      <c r="E24" s="45">
        <v>4386</v>
      </c>
      <c r="F24" s="46">
        <f>E24-D24</f>
        <v>-2137.8000000000002</v>
      </c>
      <c r="G24" s="36">
        <f t="shared" si="0"/>
        <v>67.230755081394278</v>
      </c>
      <c r="H24" s="47"/>
      <c r="I24">
        <v>385.7</v>
      </c>
      <c r="J24">
        <v>135</v>
      </c>
      <c r="K24">
        <v>500</v>
      </c>
    </row>
    <row r="25" spans="1:17" ht="25.5" x14ac:dyDescent="0.2">
      <c r="A25" s="32" t="s">
        <v>25</v>
      </c>
      <c r="B25" s="52" t="s">
        <v>26</v>
      </c>
      <c r="C25" s="39" t="s">
        <v>13</v>
      </c>
      <c r="D25" s="44">
        <v>60180</v>
      </c>
      <c r="E25" s="45">
        <v>54594</v>
      </c>
      <c r="F25" s="46">
        <f>E25-D25</f>
        <v>-5586</v>
      </c>
      <c r="G25" s="36"/>
      <c r="H25" s="41"/>
    </row>
    <row r="26" spans="1:17" x14ac:dyDescent="0.2">
      <c r="A26" s="32" t="s">
        <v>27</v>
      </c>
      <c r="B26" s="53" t="s">
        <v>28</v>
      </c>
      <c r="C26" s="39" t="s">
        <v>13</v>
      </c>
      <c r="D26" s="54">
        <f>D27+D28</f>
        <v>1305674.1000000001</v>
      </c>
      <c r="E26" s="55">
        <f>E27+E28</f>
        <v>581673.6</v>
      </c>
      <c r="F26" s="40">
        <f>F27+F28+F29</f>
        <v>-724000.5</v>
      </c>
      <c r="G26" s="36">
        <f t="shared" si="0"/>
        <v>44.549677442479705</v>
      </c>
      <c r="H26" s="56"/>
      <c r="I26" s="57"/>
      <c r="J26" s="57"/>
    </row>
    <row r="27" spans="1:17" x14ac:dyDescent="0.2">
      <c r="A27" s="32" t="s">
        <v>29</v>
      </c>
      <c r="B27" s="43" t="s">
        <v>30</v>
      </c>
      <c r="C27" s="39" t="s">
        <v>13</v>
      </c>
      <c r="D27" s="44">
        <v>1202832</v>
      </c>
      <c r="E27" s="45">
        <f>519091.9+10000</f>
        <v>529091.9</v>
      </c>
      <c r="F27" s="36">
        <f t="shared" ref="F27:F81" si="1">E27-D27</f>
        <v>-673740.1</v>
      </c>
      <c r="G27" s="36">
        <f t="shared" si="0"/>
        <v>43.987181917341744</v>
      </c>
      <c r="H27" s="41"/>
      <c r="I27" s="57">
        <v>-21413</v>
      </c>
      <c r="K27" s="58">
        <f>21413+22375-10514.8</f>
        <v>33273.199999999997</v>
      </c>
    </row>
    <row r="28" spans="1:17" x14ac:dyDescent="0.2">
      <c r="A28" s="32" t="s">
        <v>31</v>
      </c>
      <c r="B28" s="43" t="s">
        <v>32</v>
      </c>
      <c r="C28" s="39" t="s">
        <v>13</v>
      </c>
      <c r="D28" s="44">
        <v>102842.1</v>
      </c>
      <c r="E28" s="45">
        <f>51581.7+1000</f>
        <v>52581.7</v>
      </c>
      <c r="F28" s="36">
        <f t="shared" si="1"/>
        <v>-50260.400000000009</v>
      </c>
      <c r="G28" s="36">
        <f t="shared" si="0"/>
        <v>51.128574776283251</v>
      </c>
      <c r="H28" s="41"/>
      <c r="I28" s="59">
        <v>3836.8</v>
      </c>
      <c r="K28" s="58">
        <f>5741-1156</f>
        <v>4585</v>
      </c>
      <c r="L28" s="58">
        <v>3389</v>
      </c>
      <c r="M28">
        <f>K28-L28</f>
        <v>1196</v>
      </c>
      <c r="N28" t="s">
        <v>33</v>
      </c>
    </row>
    <row r="29" spans="1:17" hidden="1" x14ac:dyDescent="0.2">
      <c r="A29" s="32" t="s">
        <v>34</v>
      </c>
      <c r="B29" s="43" t="s">
        <v>35</v>
      </c>
      <c r="C29" s="39" t="s">
        <v>13</v>
      </c>
      <c r="D29" s="44">
        <f>[1]Лист1!AP1677</f>
        <v>0</v>
      </c>
      <c r="E29" s="45">
        <f>[1]Лист1!AQ1677</f>
        <v>0</v>
      </c>
      <c r="F29" s="36">
        <f t="shared" si="1"/>
        <v>0</v>
      </c>
      <c r="G29" s="36" t="e">
        <f t="shared" si="0"/>
        <v>#DIV/0!</v>
      </c>
      <c r="H29" s="41"/>
    </row>
    <row r="30" spans="1:17" x14ac:dyDescent="0.2">
      <c r="A30" s="32" t="s">
        <v>36</v>
      </c>
      <c r="B30" s="53" t="s">
        <v>37</v>
      </c>
      <c r="C30" s="39" t="s">
        <v>13</v>
      </c>
      <c r="D30" s="54">
        <v>606753.80000000005</v>
      </c>
      <c r="E30" s="55">
        <f>964.2+226904.7</f>
        <v>227868.90000000002</v>
      </c>
      <c r="F30" s="40">
        <f t="shared" si="1"/>
        <v>-378884.9</v>
      </c>
      <c r="G30" s="36">
        <f t="shared" si="0"/>
        <v>37.555413744421543</v>
      </c>
      <c r="H30" s="47"/>
    </row>
    <row r="31" spans="1:17" s="61" customFormat="1" ht="27.75" customHeight="1" x14ac:dyDescent="0.2">
      <c r="A31" s="32" t="s">
        <v>38</v>
      </c>
      <c r="B31" s="60" t="s">
        <v>39</v>
      </c>
      <c r="C31" s="34" t="s">
        <v>13</v>
      </c>
      <c r="D31" s="54">
        <f>SUM(D32:D37)</f>
        <v>258769.5</v>
      </c>
      <c r="E31" s="54">
        <f>SUM(E32:E35)</f>
        <v>210802.2</v>
      </c>
      <c r="F31" s="40">
        <f t="shared" si="1"/>
        <v>-47967.299999999988</v>
      </c>
      <c r="G31" s="36">
        <f t="shared" si="0"/>
        <v>81.463310011419438</v>
      </c>
      <c r="H31" s="47"/>
      <c r="I31" s="61" t="s">
        <v>40</v>
      </c>
      <c r="J31" s="61" t="s">
        <v>41</v>
      </c>
      <c r="K31" s="61" t="s">
        <v>42</v>
      </c>
      <c r="Q31" s="62"/>
    </row>
    <row r="32" spans="1:17" ht="13.5" hidden="1" outlineLevel="1" x14ac:dyDescent="0.2">
      <c r="A32" s="63"/>
      <c r="B32" s="43" t="s">
        <v>43</v>
      </c>
      <c r="C32" s="39" t="s">
        <v>13</v>
      </c>
      <c r="D32" s="44">
        <v>9212.1</v>
      </c>
      <c r="E32" s="44">
        <f>507.5+2158.9+1000</f>
        <v>3666.4</v>
      </c>
      <c r="F32" s="36">
        <f t="shared" si="1"/>
        <v>-5545.7000000000007</v>
      </c>
      <c r="G32" s="36">
        <f t="shared" si="0"/>
        <v>39.799828486447169</v>
      </c>
      <c r="H32" s="41"/>
      <c r="I32" s="64">
        <v>1666</v>
      </c>
      <c r="Q32" s="65"/>
    </row>
    <row r="33" spans="1:14" ht="13.5" hidden="1" outlineLevel="1" x14ac:dyDescent="0.2">
      <c r="A33" s="63"/>
      <c r="B33" s="43" t="s">
        <v>44</v>
      </c>
      <c r="C33" s="39" t="s">
        <v>13</v>
      </c>
      <c r="D33" s="44">
        <v>208655.4</v>
      </c>
      <c r="E33" s="44">
        <f>1148.5+11762+2144.6+11976.5+490.4+120000+20000+30489.6</f>
        <v>198011.6</v>
      </c>
      <c r="F33" s="46">
        <f t="shared" si="1"/>
        <v>-10643.799999999988</v>
      </c>
      <c r="G33" s="36">
        <f t="shared" si="0"/>
        <v>94.898861951332208</v>
      </c>
      <c r="H33" s="47"/>
      <c r="I33" s="48">
        <v>16900</v>
      </c>
      <c r="J33">
        <v>3435</v>
      </c>
      <c r="K33">
        <v>1600</v>
      </c>
    </row>
    <row r="34" spans="1:14" ht="13.5" hidden="1" outlineLevel="1" x14ac:dyDescent="0.2">
      <c r="A34" s="63"/>
      <c r="B34" s="51" t="s">
        <v>22</v>
      </c>
      <c r="C34" s="39" t="s">
        <v>13</v>
      </c>
      <c r="D34" s="44">
        <v>38697</v>
      </c>
      <c r="E34" s="44">
        <f>631+4690</f>
        <v>5321</v>
      </c>
      <c r="F34" s="36">
        <f t="shared" si="1"/>
        <v>-33376</v>
      </c>
      <c r="G34" s="36">
        <f t="shared" si="0"/>
        <v>13.750419929193477</v>
      </c>
      <c r="H34" s="41"/>
      <c r="I34" s="66">
        <v>4277</v>
      </c>
      <c r="J34">
        <v>-500</v>
      </c>
    </row>
    <row r="35" spans="1:14" ht="15" hidden="1" customHeight="1" outlineLevel="1" x14ac:dyDescent="0.2">
      <c r="A35" s="63"/>
      <c r="B35" s="43" t="s">
        <v>45</v>
      </c>
      <c r="C35" s="39" t="s">
        <v>13</v>
      </c>
      <c r="D35" s="44">
        <v>2205</v>
      </c>
      <c r="E35" s="44">
        <f>276.2+41+1526+460+1500</f>
        <v>3803.2</v>
      </c>
      <c r="F35" s="36">
        <f t="shared" si="1"/>
        <v>1598.1999999999998</v>
      </c>
      <c r="G35" s="36">
        <f t="shared" si="0"/>
        <v>172.48072562358277</v>
      </c>
      <c r="H35" s="41"/>
      <c r="I35" s="67">
        <v>3063.6</v>
      </c>
      <c r="N35" s="65">
        <f>E27+E50+E86</f>
        <v>622149.49100000004</v>
      </c>
    </row>
    <row r="36" spans="1:14" ht="13.5" hidden="1" outlineLevel="1" x14ac:dyDescent="0.2">
      <c r="A36" s="63"/>
      <c r="B36" s="43" t="s">
        <v>46</v>
      </c>
      <c r="C36" s="39" t="s">
        <v>13</v>
      </c>
      <c r="D36" s="44"/>
      <c r="E36" s="44"/>
      <c r="F36" s="36">
        <f t="shared" si="1"/>
        <v>0</v>
      </c>
      <c r="G36" s="36" t="e">
        <f>E36/D36*100</f>
        <v>#DIV/0!</v>
      </c>
      <c r="H36" s="41"/>
    </row>
    <row r="37" spans="1:14" ht="13.5" hidden="1" outlineLevel="1" x14ac:dyDescent="0.2">
      <c r="A37" s="63"/>
      <c r="B37" s="43" t="s">
        <v>47</v>
      </c>
      <c r="C37" s="39" t="s">
        <v>13</v>
      </c>
      <c r="D37" s="44"/>
      <c r="E37" s="44"/>
      <c r="F37" s="36">
        <f t="shared" si="1"/>
        <v>0</v>
      </c>
      <c r="G37" s="36" t="e">
        <f>E37/D37*100</f>
        <v>#DIV/0!</v>
      </c>
      <c r="H37" s="41"/>
    </row>
    <row r="38" spans="1:14" ht="18.75" customHeight="1" collapsed="1" x14ac:dyDescent="0.2">
      <c r="A38" s="32" t="s">
        <v>48</v>
      </c>
      <c r="B38" s="53" t="s">
        <v>49</v>
      </c>
      <c r="C38" s="39" t="s">
        <v>13</v>
      </c>
      <c r="D38" s="54">
        <f>SUM(D39:D47)</f>
        <v>43074.9</v>
      </c>
      <c r="E38" s="54">
        <f>SUM(E39:E47)</f>
        <v>21573.5</v>
      </c>
      <c r="F38" s="40">
        <f>E38-D38</f>
        <v>-21501.4</v>
      </c>
      <c r="G38" s="36">
        <f>E38/D38*100</f>
        <v>50.083691430508246</v>
      </c>
      <c r="H38" s="41"/>
      <c r="I38" s="57"/>
    </row>
    <row r="39" spans="1:14" s="61" customFormat="1" x14ac:dyDescent="0.2">
      <c r="A39" s="32" t="s">
        <v>50</v>
      </c>
      <c r="B39" s="68" t="s">
        <v>51</v>
      </c>
      <c r="C39" s="34" t="s">
        <v>13</v>
      </c>
      <c r="D39" s="44">
        <v>973</v>
      </c>
      <c r="E39" s="44">
        <f>67+3618</f>
        <v>3685</v>
      </c>
      <c r="F39" s="36">
        <f>E39-D39</f>
        <v>2712</v>
      </c>
      <c r="G39" s="36">
        <f t="shared" ref="G39:G80" si="2">E39/D39*100</f>
        <v>378.72559095580681</v>
      </c>
      <c r="H39" s="47"/>
      <c r="I39" s="69">
        <v>-3063.6</v>
      </c>
      <c r="J39" s="61">
        <v>45</v>
      </c>
    </row>
    <row r="40" spans="1:14" s="61" customFormat="1" x14ac:dyDescent="0.2">
      <c r="A40" s="32" t="s">
        <v>52</v>
      </c>
      <c r="B40" s="68" t="s">
        <v>53</v>
      </c>
      <c r="C40" s="34" t="s">
        <v>13</v>
      </c>
      <c r="D40" s="44">
        <v>15199</v>
      </c>
      <c r="E40" s="44">
        <f>2790+2943</f>
        <v>5733</v>
      </c>
      <c r="F40" s="36">
        <f t="shared" si="1"/>
        <v>-9466</v>
      </c>
      <c r="G40" s="36">
        <f t="shared" si="2"/>
        <v>37.719586814922032</v>
      </c>
      <c r="H40" s="47"/>
      <c r="I40" s="70" t="s">
        <v>54</v>
      </c>
      <c r="J40" s="61">
        <v>-200</v>
      </c>
      <c r="K40" s="61">
        <v>-3435</v>
      </c>
    </row>
    <row r="41" spans="1:14" x14ac:dyDescent="0.2">
      <c r="A41" s="32" t="s">
        <v>55</v>
      </c>
      <c r="B41" s="43" t="s">
        <v>56</v>
      </c>
      <c r="C41" s="39" t="s">
        <v>13</v>
      </c>
      <c r="D41" s="44">
        <v>2959.8</v>
      </c>
      <c r="E41" s="44">
        <v>1200</v>
      </c>
      <c r="F41" s="46">
        <f t="shared" si="1"/>
        <v>-1759.8000000000002</v>
      </c>
      <c r="G41" s="36">
        <f t="shared" si="2"/>
        <v>40.543279951348062</v>
      </c>
      <c r="H41" s="41"/>
      <c r="I41">
        <v>200</v>
      </c>
    </row>
    <row r="42" spans="1:14" x14ac:dyDescent="0.2">
      <c r="A42" s="32" t="s">
        <v>57</v>
      </c>
      <c r="B42" s="43" t="s">
        <v>58</v>
      </c>
      <c r="C42" s="39" t="s">
        <v>13</v>
      </c>
      <c r="D42" s="44">
        <v>276</v>
      </c>
      <c r="E42" s="44">
        <v>194</v>
      </c>
      <c r="F42" s="36">
        <f t="shared" si="1"/>
        <v>-82</v>
      </c>
      <c r="G42" s="36">
        <f t="shared" si="2"/>
        <v>70.289855072463766</v>
      </c>
      <c r="H42" s="41"/>
      <c r="I42" s="71">
        <v>-496</v>
      </c>
    </row>
    <row r="43" spans="1:14" x14ac:dyDescent="0.2">
      <c r="A43" s="32" t="s">
        <v>59</v>
      </c>
      <c r="B43" s="43" t="s">
        <v>60</v>
      </c>
      <c r="C43" s="39" t="s">
        <v>13</v>
      </c>
      <c r="D43" s="44">
        <v>3000</v>
      </c>
      <c r="E43" s="44">
        <v>1349</v>
      </c>
      <c r="F43" s="46">
        <f t="shared" si="1"/>
        <v>-1651</v>
      </c>
      <c r="G43" s="36">
        <f t="shared" si="2"/>
        <v>44.966666666666669</v>
      </c>
      <c r="H43" s="41"/>
      <c r="I43" s="72">
        <v>-2616.6</v>
      </c>
      <c r="J43">
        <v>45</v>
      </c>
    </row>
    <row r="44" spans="1:14" x14ac:dyDescent="0.2">
      <c r="A44" s="32" t="s">
        <v>61</v>
      </c>
      <c r="B44" s="43" t="s">
        <v>62</v>
      </c>
      <c r="C44" s="39" t="s">
        <v>13</v>
      </c>
      <c r="D44" s="44">
        <v>1764</v>
      </c>
      <c r="E44" s="44">
        <f>1092+20</f>
        <v>1112</v>
      </c>
      <c r="F44" s="36">
        <f t="shared" si="1"/>
        <v>-652</v>
      </c>
      <c r="G44" s="36">
        <f t="shared" si="2"/>
        <v>63.038548752834465</v>
      </c>
      <c r="H44" s="41"/>
      <c r="I44" s="73">
        <v>-200</v>
      </c>
    </row>
    <row r="45" spans="1:14" x14ac:dyDescent="0.2">
      <c r="A45" s="32" t="s">
        <v>63</v>
      </c>
      <c r="B45" s="43" t="s">
        <v>64</v>
      </c>
      <c r="C45" s="39" t="s">
        <v>13</v>
      </c>
      <c r="D45" s="49">
        <v>8839.7000000000007</v>
      </c>
      <c r="E45" s="44">
        <f>1853+1838</f>
        <v>3691</v>
      </c>
      <c r="F45" s="36">
        <f t="shared" si="1"/>
        <v>-5148.7000000000007</v>
      </c>
      <c r="G45" s="36">
        <f t="shared" si="2"/>
        <v>41.754810683620477</v>
      </c>
      <c r="H45" s="41"/>
      <c r="I45" s="74">
        <v>-5360</v>
      </c>
    </row>
    <row r="46" spans="1:14" x14ac:dyDescent="0.2">
      <c r="A46" s="32" t="s">
        <v>65</v>
      </c>
      <c r="B46" s="43" t="s">
        <v>66</v>
      </c>
      <c r="C46" s="39" t="s">
        <v>13</v>
      </c>
      <c r="D46" s="44">
        <v>245.4</v>
      </c>
      <c r="E46" s="44">
        <f>86</f>
        <v>86</v>
      </c>
      <c r="F46" s="36">
        <f t="shared" si="1"/>
        <v>-159.4</v>
      </c>
      <c r="G46" s="36">
        <f t="shared" si="2"/>
        <v>35.044824775876123</v>
      </c>
      <c r="H46" s="41"/>
      <c r="I46" s="57">
        <v>-385.7</v>
      </c>
    </row>
    <row r="47" spans="1:14" x14ac:dyDescent="0.2">
      <c r="A47" s="32" t="s">
        <v>67</v>
      </c>
      <c r="B47" s="43" t="s">
        <v>68</v>
      </c>
      <c r="C47" s="39" t="s">
        <v>13</v>
      </c>
      <c r="D47" s="44">
        <v>9818</v>
      </c>
      <c r="E47" s="44">
        <f>772.5+235+3433+83</f>
        <v>4523.5</v>
      </c>
      <c r="F47" s="36">
        <f t="shared" si="1"/>
        <v>-5294.5</v>
      </c>
      <c r="G47" s="36">
        <f t="shared" si="2"/>
        <v>46.073538398859235</v>
      </c>
      <c r="H47" s="75"/>
      <c r="I47" s="76">
        <v>118.3</v>
      </c>
    </row>
    <row r="48" spans="1:14" x14ac:dyDescent="0.2">
      <c r="A48" s="32" t="s">
        <v>69</v>
      </c>
      <c r="B48" s="39" t="s">
        <v>70</v>
      </c>
      <c r="C48" s="39" t="s">
        <v>13</v>
      </c>
      <c r="D48" s="54">
        <f>D49</f>
        <v>321595</v>
      </c>
      <c r="E48" s="54">
        <f>E49</f>
        <v>134075.69999999998</v>
      </c>
      <c r="F48" s="36">
        <f t="shared" si="1"/>
        <v>-187519.30000000002</v>
      </c>
      <c r="G48" s="36">
        <f t="shared" si="2"/>
        <v>41.690853402571555</v>
      </c>
      <c r="H48" s="41"/>
      <c r="I48" s="57"/>
    </row>
    <row r="49" spans="1:13" x14ac:dyDescent="0.2">
      <c r="A49" s="32" t="s">
        <v>71</v>
      </c>
      <c r="B49" s="39" t="s">
        <v>72</v>
      </c>
      <c r="C49" s="39" t="s">
        <v>13</v>
      </c>
      <c r="D49" s="54">
        <f>SUM(D50:D54)+D60</f>
        <v>321595</v>
      </c>
      <c r="E49" s="54">
        <f>SUM(E50:E54)+E60</f>
        <v>134075.69999999998</v>
      </c>
      <c r="F49" s="36">
        <f t="shared" si="1"/>
        <v>-187519.30000000002</v>
      </c>
      <c r="G49" s="36">
        <f t="shared" si="2"/>
        <v>41.690853402571555</v>
      </c>
      <c r="H49" s="41"/>
    </row>
    <row r="50" spans="1:13" x14ac:dyDescent="0.2">
      <c r="A50" s="77" t="s">
        <v>73</v>
      </c>
      <c r="B50" s="78" t="s">
        <v>74</v>
      </c>
      <c r="C50" s="39" t="s">
        <v>13</v>
      </c>
      <c r="D50" s="44">
        <v>222730.4</v>
      </c>
      <c r="E50" s="44">
        <f>74583.5+10000</f>
        <v>84583.5</v>
      </c>
      <c r="F50" s="36">
        <f>E50-D50</f>
        <v>-138146.9</v>
      </c>
      <c r="G50" s="36">
        <f t="shared" si="2"/>
        <v>37.975732095843227</v>
      </c>
      <c r="H50" s="79"/>
      <c r="I50">
        <v>-22375</v>
      </c>
    </row>
    <row r="51" spans="1:13" x14ac:dyDescent="0.2">
      <c r="A51" s="77" t="s">
        <v>75</v>
      </c>
      <c r="B51" s="78" t="s">
        <v>32</v>
      </c>
      <c r="C51" s="39" t="s">
        <v>13</v>
      </c>
      <c r="D51" s="49">
        <v>19043.400000000001</v>
      </c>
      <c r="E51" s="44">
        <f>7676.9+1000</f>
        <v>8676.9</v>
      </c>
      <c r="F51" s="36">
        <f t="shared" si="1"/>
        <v>-10366.500000000002</v>
      </c>
      <c r="G51" s="36">
        <f t="shared" si="2"/>
        <v>45.563817385550891</v>
      </c>
      <c r="H51" s="79"/>
      <c r="I51" s="80">
        <v>-3836.8</v>
      </c>
      <c r="J51">
        <v>-5741</v>
      </c>
      <c r="K51">
        <v>3389</v>
      </c>
      <c r="L51">
        <v>1156</v>
      </c>
      <c r="M51">
        <v>1196</v>
      </c>
    </row>
    <row r="52" spans="1:13" ht="15" hidden="1" customHeight="1" outlineLevel="1" x14ac:dyDescent="0.2">
      <c r="A52" s="77" t="s">
        <v>76</v>
      </c>
      <c r="B52" s="78" t="s">
        <v>77</v>
      </c>
      <c r="C52" s="39" t="s">
        <v>13</v>
      </c>
      <c r="D52" s="44"/>
      <c r="E52" s="44"/>
      <c r="F52" s="36">
        <f t="shared" si="1"/>
        <v>0</v>
      </c>
      <c r="G52" s="36"/>
      <c r="H52" s="41"/>
      <c r="I52" s="65" t="e">
        <f>E39+E41+E42+E43+E44+E45+E46+E56+E58+E59+E61+E62+E64+E65+E66+E67+E68+E69+E71+E72+#REF!</f>
        <v>#REF!</v>
      </c>
    </row>
    <row r="53" spans="1:13" collapsed="1" x14ac:dyDescent="0.2">
      <c r="A53" s="77" t="s">
        <v>76</v>
      </c>
      <c r="B53" s="81" t="s">
        <v>78</v>
      </c>
      <c r="C53" s="34" t="s">
        <v>13</v>
      </c>
      <c r="D53" s="54">
        <v>30728.2</v>
      </c>
      <c r="E53" s="54">
        <v>16578.900000000001</v>
      </c>
      <c r="F53" s="36">
        <f t="shared" si="1"/>
        <v>-14149.3</v>
      </c>
      <c r="G53" s="36">
        <f t="shared" si="2"/>
        <v>53.953371821323735</v>
      </c>
      <c r="H53" s="47"/>
      <c r="I53" s="57"/>
    </row>
    <row r="54" spans="1:13" x14ac:dyDescent="0.2">
      <c r="A54" s="77">
        <v>7</v>
      </c>
      <c r="B54" s="78" t="s">
        <v>79</v>
      </c>
      <c r="C54" s="39" t="s">
        <v>13</v>
      </c>
      <c r="D54" s="54">
        <f>D55+D56+D57+D58+D59</f>
        <v>27021.5</v>
      </c>
      <c r="E54" s="54">
        <f>E55+E56+E57+E58+E59</f>
        <v>13260.6</v>
      </c>
      <c r="F54" s="36">
        <f>E54-D54</f>
        <v>-13760.9</v>
      </c>
      <c r="G54" s="36">
        <f>E54/D54*100</f>
        <v>49.074255685287646</v>
      </c>
      <c r="H54" s="47"/>
      <c r="I54" s="57"/>
    </row>
    <row r="55" spans="1:13" x14ac:dyDescent="0.2">
      <c r="A55" s="77" t="s">
        <v>80</v>
      </c>
      <c r="B55" s="78" t="s">
        <v>68</v>
      </c>
      <c r="C55" s="39" t="s">
        <v>13</v>
      </c>
      <c r="D55" s="44">
        <v>10137</v>
      </c>
      <c r="E55" s="44">
        <v>3781</v>
      </c>
      <c r="F55" s="36">
        <f t="shared" si="1"/>
        <v>-6356</v>
      </c>
      <c r="G55" s="36">
        <f t="shared" si="2"/>
        <v>37.299003649995065</v>
      </c>
      <c r="H55" s="41"/>
      <c r="I55" s="57">
        <v>-3758</v>
      </c>
      <c r="J55" s="82">
        <v>-1666</v>
      </c>
      <c r="K55">
        <v>2092.4</v>
      </c>
      <c r="L55" s="83">
        <v>-914.5</v>
      </c>
      <c r="M55" s="84">
        <v>1177.9000000000001</v>
      </c>
    </row>
    <row r="56" spans="1:13" ht="15" hidden="1" customHeight="1" outlineLevel="1" x14ac:dyDescent="0.2">
      <c r="A56" s="77"/>
      <c r="B56" s="78" t="s">
        <v>81</v>
      </c>
      <c r="C56" s="39" t="s">
        <v>13</v>
      </c>
      <c r="D56" s="44"/>
      <c r="E56" s="44"/>
      <c r="F56" s="36">
        <f t="shared" si="1"/>
        <v>0</v>
      </c>
      <c r="G56" s="36" t="e">
        <f t="shared" si="2"/>
        <v>#DIV/0!</v>
      </c>
      <c r="H56" s="41"/>
      <c r="I56" s="85">
        <v>295</v>
      </c>
    </row>
    <row r="57" spans="1:13" collapsed="1" x14ac:dyDescent="0.2">
      <c r="A57" s="77" t="s">
        <v>82</v>
      </c>
      <c r="B57" s="78" t="s">
        <v>83</v>
      </c>
      <c r="C57" s="39" t="s">
        <v>13</v>
      </c>
      <c r="D57" s="44">
        <v>10005.700000000001</v>
      </c>
      <c r="E57" s="44">
        <v>4169</v>
      </c>
      <c r="F57" s="36">
        <f t="shared" si="1"/>
        <v>-5836.7000000000007</v>
      </c>
      <c r="G57" s="36">
        <f t="shared" si="2"/>
        <v>41.6662502373647</v>
      </c>
      <c r="H57" s="86"/>
    </row>
    <row r="58" spans="1:13" x14ac:dyDescent="0.2">
      <c r="A58" s="77" t="s">
        <v>84</v>
      </c>
      <c r="B58" s="78" t="s">
        <v>85</v>
      </c>
      <c r="C58" s="39" t="s">
        <v>13</v>
      </c>
      <c r="D58" s="44">
        <v>3119.5</v>
      </c>
      <c r="E58" s="44">
        <f>83+50+2500</f>
        <v>2633</v>
      </c>
      <c r="F58" s="46">
        <f t="shared" si="1"/>
        <v>-486.5</v>
      </c>
      <c r="G58" s="36">
        <f t="shared" si="2"/>
        <v>84.404552011540318</v>
      </c>
      <c r="H58" s="41"/>
    </row>
    <row r="59" spans="1:13" x14ac:dyDescent="0.2">
      <c r="A59" s="77" t="s">
        <v>86</v>
      </c>
      <c r="B59" s="78" t="s">
        <v>87</v>
      </c>
      <c r="C59" s="39" t="s">
        <v>13</v>
      </c>
      <c r="D59" s="44">
        <v>3759.3</v>
      </c>
      <c r="E59" s="44">
        <f>184.6+1308+1185</f>
        <v>2677.6</v>
      </c>
      <c r="F59" s="36">
        <f t="shared" si="1"/>
        <v>-1081.7000000000003</v>
      </c>
      <c r="G59" s="36">
        <f t="shared" si="2"/>
        <v>71.226026121884388</v>
      </c>
      <c r="H59" s="41"/>
      <c r="K59" s="87">
        <f>E32+E47+E55+E93+E85</f>
        <v>16071.6</v>
      </c>
    </row>
    <row r="60" spans="1:13" x14ac:dyDescent="0.2">
      <c r="A60" s="88">
        <v>8</v>
      </c>
      <c r="B60" s="38" t="s">
        <v>88</v>
      </c>
      <c r="C60" s="39" t="s">
        <v>13</v>
      </c>
      <c r="D60" s="54">
        <f>SUM(D61:D72)</f>
        <v>22071.499999999996</v>
      </c>
      <c r="E60" s="54">
        <f>SUM(E61:E72)</f>
        <v>10975.8</v>
      </c>
      <c r="F60" s="40">
        <f t="shared" si="1"/>
        <v>-11095.699999999997</v>
      </c>
      <c r="G60" s="40">
        <f t="shared" si="2"/>
        <v>49.728382756042869</v>
      </c>
      <c r="H60" s="41"/>
      <c r="K60" s="89">
        <v>40134</v>
      </c>
    </row>
    <row r="61" spans="1:13" x14ac:dyDescent="0.2">
      <c r="A61" s="32" t="s">
        <v>89</v>
      </c>
      <c r="B61" s="78" t="s">
        <v>90</v>
      </c>
      <c r="C61" s="39" t="s">
        <v>13</v>
      </c>
      <c r="D61" s="44">
        <v>7212.9</v>
      </c>
      <c r="E61" s="44">
        <v>3005</v>
      </c>
      <c r="F61" s="36">
        <f t="shared" si="1"/>
        <v>-4207.8999999999996</v>
      </c>
      <c r="G61" s="36">
        <f t="shared" si="2"/>
        <v>41.661467648241349</v>
      </c>
      <c r="H61" s="41"/>
      <c r="I61" s="90">
        <v>1748</v>
      </c>
      <c r="K61" s="87">
        <f>K60-K59</f>
        <v>24062.400000000001</v>
      </c>
    </row>
    <row r="62" spans="1:13" x14ac:dyDescent="0.2">
      <c r="A62" s="32" t="s">
        <v>91</v>
      </c>
      <c r="B62" s="78" t="s">
        <v>92</v>
      </c>
      <c r="C62" s="39" t="s">
        <v>13</v>
      </c>
      <c r="D62" s="44">
        <v>4440</v>
      </c>
      <c r="E62" s="44">
        <v>1832</v>
      </c>
      <c r="F62" s="36">
        <f t="shared" si="1"/>
        <v>-2608</v>
      </c>
      <c r="G62" s="36">
        <f t="shared" si="2"/>
        <v>41.261261261261261</v>
      </c>
      <c r="H62" s="41"/>
      <c r="I62" s="91">
        <v>-532.79999999999995</v>
      </c>
    </row>
    <row r="63" spans="1:13" x14ac:dyDescent="0.2">
      <c r="A63" s="32" t="s">
        <v>93</v>
      </c>
      <c r="B63" s="78" t="s">
        <v>94</v>
      </c>
      <c r="C63" s="39" t="s">
        <v>13</v>
      </c>
      <c r="D63" s="44">
        <v>2000</v>
      </c>
      <c r="E63" s="44">
        <v>1987</v>
      </c>
      <c r="F63" s="36">
        <f t="shared" si="1"/>
        <v>-13</v>
      </c>
      <c r="G63" s="36">
        <f t="shared" si="2"/>
        <v>99.350000000000009</v>
      </c>
      <c r="H63" s="47"/>
      <c r="I63">
        <v>-640</v>
      </c>
      <c r="J63" s="92">
        <v>-295</v>
      </c>
      <c r="K63" s="93">
        <v>345</v>
      </c>
    </row>
    <row r="64" spans="1:13" x14ac:dyDescent="0.2">
      <c r="A64" s="32" t="s">
        <v>95</v>
      </c>
      <c r="B64" s="78" t="s">
        <v>96</v>
      </c>
      <c r="C64" s="39" t="s">
        <v>13</v>
      </c>
      <c r="D64" s="44">
        <v>1000</v>
      </c>
      <c r="E64" s="44">
        <v>500</v>
      </c>
      <c r="F64" s="36">
        <f>E64-D64</f>
        <v>-500</v>
      </c>
      <c r="G64" s="36">
        <f>E64/D64*100</f>
        <v>50</v>
      </c>
      <c r="H64" s="41"/>
      <c r="I64" s="91">
        <v>532.79999999999995</v>
      </c>
    </row>
    <row r="65" spans="1:17" x14ac:dyDescent="0.2">
      <c r="A65" s="32" t="s">
        <v>97</v>
      </c>
      <c r="B65" s="78" t="s">
        <v>98</v>
      </c>
      <c r="C65" s="39" t="s">
        <v>13</v>
      </c>
      <c r="D65" s="44">
        <v>1160.0999999999999</v>
      </c>
      <c r="E65" s="44">
        <v>200</v>
      </c>
      <c r="F65" s="36">
        <f>E65-D65</f>
        <v>-960.09999999999991</v>
      </c>
      <c r="G65" s="36">
        <f>E65/D65*100</f>
        <v>17.239893112662703</v>
      </c>
      <c r="H65" s="41"/>
      <c r="I65">
        <v>-135</v>
      </c>
    </row>
    <row r="66" spans="1:17" x14ac:dyDescent="0.2">
      <c r="A66" s="32" t="s">
        <v>99</v>
      </c>
      <c r="B66" s="78" t="s">
        <v>100</v>
      </c>
      <c r="C66" s="39" t="s">
        <v>13</v>
      </c>
      <c r="D66" s="44">
        <v>718.5</v>
      </c>
      <c r="E66" s="44">
        <v>118</v>
      </c>
      <c r="F66" s="36">
        <f t="shared" si="1"/>
        <v>-600.5</v>
      </c>
      <c r="G66" s="36">
        <f t="shared" si="2"/>
        <v>16.423103688239387</v>
      </c>
      <c r="H66" s="41"/>
      <c r="I66" s="93">
        <v>113.6</v>
      </c>
    </row>
    <row r="67" spans="1:17" x14ac:dyDescent="0.2">
      <c r="A67" s="32" t="s">
        <v>101</v>
      </c>
      <c r="B67" s="78" t="s">
        <v>102</v>
      </c>
      <c r="C67" s="39" t="s">
        <v>13</v>
      </c>
      <c r="D67" s="44">
        <v>937.3</v>
      </c>
      <c r="E67" s="44">
        <f>70+500</f>
        <v>570</v>
      </c>
      <c r="F67" s="36">
        <f t="shared" si="1"/>
        <v>-367.29999999999995</v>
      </c>
      <c r="G67" s="36">
        <f t="shared" si="2"/>
        <v>60.812973434332662</v>
      </c>
      <c r="H67" s="41"/>
      <c r="I67" s="93">
        <v>231</v>
      </c>
    </row>
    <row r="68" spans="1:17" x14ac:dyDescent="0.2">
      <c r="A68" s="32" t="s">
        <v>103</v>
      </c>
      <c r="B68" s="78" t="s">
        <v>104</v>
      </c>
      <c r="C68" s="39" t="s">
        <v>13</v>
      </c>
      <c r="D68" s="44">
        <v>81.8</v>
      </c>
      <c r="E68" s="44">
        <v>18</v>
      </c>
      <c r="F68" s="36">
        <f t="shared" si="1"/>
        <v>-63.8</v>
      </c>
      <c r="G68" s="36">
        <f t="shared" si="2"/>
        <v>22.004889975550125</v>
      </c>
      <c r="H68" s="41"/>
      <c r="I68" s="71">
        <v>6.8</v>
      </c>
    </row>
    <row r="69" spans="1:17" x14ac:dyDescent="0.2">
      <c r="A69" s="32" t="s">
        <v>105</v>
      </c>
      <c r="B69" s="78" t="s">
        <v>106</v>
      </c>
      <c r="C69" s="39" t="s">
        <v>13</v>
      </c>
      <c r="D69" s="44">
        <v>1504</v>
      </c>
      <c r="E69" s="44">
        <f>7.5+737</f>
        <v>744.5</v>
      </c>
      <c r="F69" s="36">
        <f t="shared" si="1"/>
        <v>-759.5</v>
      </c>
      <c r="G69" s="36">
        <f t="shared" si="2"/>
        <v>49.501329787234042</v>
      </c>
      <c r="H69" s="47"/>
      <c r="I69" s="71">
        <v>391</v>
      </c>
    </row>
    <row r="70" spans="1:17" x14ac:dyDescent="0.2">
      <c r="A70" s="32" t="s">
        <v>107</v>
      </c>
      <c r="B70" s="78" t="s">
        <v>108</v>
      </c>
      <c r="C70" s="39" t="s">
        <v>13</v>
      </c>
      <c r="D70" s="44">
        <v>720.3</v>
      </c>
      <c r="E70" s="44">
        <v>1167.3</v>
      </c>
      <c r="F70" s="36">
        <f t="shared" si="1"/>
        <v>447</v>
      </c>
      <c r="G70" s="36">
        <f t="shared" si="2"/>
        <v>162.05747605164515</v>
      </c>
      <c r="H70" s="41"/>
    </row>
    <row r="71" spans="1:17" x14ac:dyDescent="0.2">
      <c r="A71" s="32" t="s">
        <v>109</v>
      </c>
      <c r="B71" s="78" t="s">
        <v>110</v>
      </c>
      <c r="C71" s="39" t="s">
        <v>13</v>
      </c>
      <c r="D71" s="44">
        <v>99.6</v>
      </c>
      <c r="E71" s="44">
        <v>32</v>
      </c>
      <c r="F71" s="36">
        <f t="shared" si="1"/>
        <v>-67.599999999999994</v>
      </c>
      <c r="G71" s="36">
        <f t="shared" si="2"/>
        <v>32.128514056224901</v>
      </c>
      <c r="H71" s="41"/>
      <c r="I71" s="94"/>
    </row>
    <row r="72" spans="1:17" ht="18.75" customHeight="1" x14ac:dyDescent="0.2">
      <c r="A72" s="32" t="s">
        <v>111</v>
      </c>
      <c r="B72" s="78" t="s">
        <v>112</v>
      </c>
      <c r="C72" s="39" t="s">
        <v>13</v>
      </c>
      <c r="D72" s="44">
        <v>2197</v>
      </c>
      <c r="E72" s="44">
        <v>802</v>
      </c>
      <c r="F72" s="36">
        <f t="shared" si="1"/>
        <v>-1395</v>
      </c>
      <c r="G72" s="36">
        <f t="shared" si="2"/>
        <v>36.504324078288576</v>
      </c>
      <c r="H72" s="41"/>
      <c r="I72" s="94">
        <v>200</v>
      </c>
    </row>
    <row r="73" spans="1:17" ht="20.25" customHeight="1" x14ac:dyDescent="0.2">
      <c r="A73" s="32" t="s">
        <v>113</v>
      </c>
      <c r="B73" s="53" t="s">
        <v>114</v>
      </c>
      <c r="C73" s="39" t="s">
        <v>13</v>
      </c>
      <c r="D73" s="95">
        <f>D48+D18</f>
        <v>3731926.4</v>
      </c>
      <c r="E73" s="95">
        <f>E48+E18</f>
        <v>1707831.003</v>
      </c>
      <c r="F73" s="36">
        <f t="shared" si="1"/>
        <v>-2024095.3969999999</v>
      </c>
      <c r="G73" s="40"/>
      <c r="H73" s="41"/>
      <c r="I73" s="57"/>
    </row>
    <row r="74" spans="1:17" ht="16.5" customHeight="1" x14ac:dyDescent="0.2">
      <c r="A74" s="32"/>
      <c r="B74" s="43" t="s">
        <v>115</v>
      </c>
      <c r="C74" s="39" t="s">
        <v>13</v>
      </c>
      <c r="D74" s="54">
        <v>16924.2</v>
      </c>
      <c r="E74" s="54"/>
      <c r="F74" s="96"/>
      <c r="G74" s="34"/>
      <c r="H74" s="41"/>
      <c r="I74" s="57"/>
    </row>
    <row r="75" spans="1:17" ht="15" customHeight="1" x14ac:dyDescent="0.2">
      <c r="A75" s="32" t="s">
        <v>116</v>
      </c>
      <c r="B75" s="97" t="s">
        <v>117</v>
      </c>
      <c r="C75" s="39" t="s">
        <v>13</v>
      </c>
      <c r="D75" s="54">
        <f>D73-D74</f>
        <v>3715002.1999999997</v>
      </c>
      <c r="E75" s="95">
        <f>E73</f>
        <v>1707831.003</v>
      </c>
      <c r="F75" s="96">
        <f t="shared" si="1"/>
        <v>-2007171.1969999997</v>
      </c>
      <c r="G75" s="34"/>
      <c r="H75" s="98"/>
      <c r="I75" s="57"/>
    </row>
    <row r="76" spans="1:17" ht="15.75" customHeight="1" x14ac:dyDescent="0.2">
      <c r="A76" s="99" t="s">
        <v>118</v>
      </c>
      <c r="B76" s="100" t="s">
        <v>119</v>
      </c>
      <c r="C76" s="39" t="s">
        <v>120</v>
      </c>
      <c r="D76" s="54">
        <v>677519.4</v>
      </c>
      <c r="E76" s="95">
        <f>311648</f>
        <v>311648</v>
      </c>
      <c r="F76" s="96">
        <f t="shared" si="1"/>
        <v>-365871.4</v>
      </c>
      <c r="G76" s="34"/>
      <c r="H76" s="47"/>
      <c r="I76" s="57">
        <v>34.700000000000003</v>
      </c>
    </row>
    <row r="77" spans="1:17" ht="15" hidden="1" customHeight="1" x14ac:dyDescent="0.2">
      <c r="A77" s="99"/>
      <c r="B77" s="100"/>
      <c r="C77" s="39" t="s">
        <v>13</v>
      </c>
      <c r="D77" s="101">
        <f>D76*5.48</f>
        <v>3712806.3120000004</v>
      </c>
      <c r="E77" s="102">
        <f>E76*5.48</f>
        <v>1707831.04</v>
      </c>
      <c r="F77" s="96">
        <f t="shared" si="1"/>
        <v>-2004975.2720000003</v>
      </c>
      <c r="G77" s="34"/>
      <c r="H77" s="47"/>
      <c r="I77" s="57"/>
    </row>
    <row r="78" spans="1:17" ht="16.5" hidden="1" customHeight="1" outlineLevel="1" x14ac:dyDescent="0.2">
      <c r="A78" s="32"/>
      <c r="B78" s="97"/>
      <c r="C78" s="39"/>
      <c r="D78" s="103"/>
      <c r="E78" s="54">
        <f>E77-E75</f>
        <v>3.7000000011175871E-2</v>
      </c>
      <c r="F78" s="96">
        <f t="shared" si="1"/>
        <v>3.7000000011175871E-2</v>
      </c>
      <c r="G78" s="34"/>
      <c r="H78" s="47"/>
      <c r="Q78" s="104"/>
    </row>
    <row r="79" spans="1:17" ht="15.75" customHeight="1" outlineLevel="1" x14ac:dyDescent="0.2">
      <c r="A79" s="99" t="s">
        <v>121</v>
      </c>
      <c r="B79" s="100" t="s">
        <v>122</v>
      </c>
      <c r="C79" s="39" t="s">
        <v>120</v>
      </c>
      <c r="D79" s="54">
        <v>125760</v>
      </c>
      <c r="E79" s="54">
        <v>55867</v>
      </c>
      <c r="F79" s="96">
        <f t="shared" si="1"/>
        <v>-69893</v>
      </c>
      <c r="G79" s="34"/>
      <c r="H79" s="47"/>
    </row>
    <row r="80" spans="1:17" x14ac:dyDescent="0.2">
      <c r="A80" s="99"/>
      <c r="B80" s="100"/>
      <c r="C80" s="39" t="s">
        <v>123</v>
      </c>
      <c r="D80" s="105">
        <v>14.8</v>
      </c>
      <c r="E80" s="105">
        <v>14.8</v>
      </c>
      <c r="F80" s="96">
        <f t="shared" si="1"/>
        <v>0</v>
      </c>
      <c r="G80" s="34">
        <f t="shared" si="2"/>
        <v>100</v>
      </c>
      <c r="H80" s="41"/>
    </row>
    <row r="81" spans="1:11" ht="19.5" customHeight="1" thickBot="1" x14ac:dyDescent="0.25">
      <c r="A81" s="106" t="s">
        <v>124</v>
      </c>
      <c r="B81" s="107" t="s">
        <v>125</v>
      </c>
      <c r="C81" s="108" t="s">
        <v>126</v>
      </c>
      <c r="D81" s="109">
        <f>D75/D76</f>
        <v>5.4832410702925989</v>
      </c>
      <c r="E81" s="109">
        <f>E75/E76</f>
        <v>5.4799998812763118</v>
      </c>
      <c r="F81" s="110">
        <f t="shared" si="1"/>
        <v>-3.241189016287116E-3</v>
      </c>
      <c r="G81" s="111">
        <v>100</v>
      </c>
      <c r="H81" s="112"/>
    </row>
    <row r="82" spans="1:11" ht="19.5" hidden="1" customHeight="1" x14ac:dyDescent="0.2">
      <c r="A82" s="113"/>
      <c r="B82" s="114"/>
      <c r="C82" s="115"/>
      <c r="D82" s="116" t="s">
        <v>127</v>
      </c>
      <c r="E82" s="117" t="s">
        <v>128</v>
      </c>
      <c r="F82" s="118"/>
      <c r="G82" s="118"/>
      <c r="H82" s="119"/>
    </row>
    <row r="83" spans="1:11" ht="12.75" hidden="1" customHeight="1" x14ac:dyDescent="0.2">
      <c r="A83" s="120" t="s">
        <v>69</v>
      </c>
      <c r="B83" s="121" t="s">
        <v>129</v>
      </c>
      <c r="C83" s="122"/>
      <c r="D83" s="123"/>
      <c r="E83" s="124"/>
      <c r="F83" s="125"/>
      <c r="G83" s="125"/>
      <c r="H83" s="126"/>
    </row>
    <row r="84" spans="1:11" ht="12.75" hidden="1" customHeight="1" x14ac:dyDescent="0.2">
      <c r="A84" s="127"/>
      <c r="B84" s="128"/>
      <c r="C84" s="129"/>
      <c r="D84" s="130"/>
      <c r="E84" s="131"/>
      <c r="F84" s="132"/>
      <c r="G84" s="132"/>
      <c r="H84" s="133"/>
    </row>
    <row r="85" spans="1:11" hidden="1" x14ac:dyDescent="0.2">
      <c r="A85" s="127"/>
      <c r="B85" s="134" t="s">
        <v>130</v>
      </c>
      <c r="C85" s="134" t="s">
        <v>13</v>
      </c>
      <c r="D85" s="135"/>
      <c r="E85" s="136">
        <v>324.60000000000002</v>
      </c>
      <c r="F85" s="137"/>
      <c r="G85" s="137"/>
      <c r="H85" s="138"/>
    </row>
    <row r="86" spans="1:11" hidden="1" x14ac:dyDescent="0.2">
      <c r="A86" s="127"/>
      <c r="B86" s="134" t="s">
        <v>131</v>
      </c>
      <c r="C86" s="134" t="s">
        <v>13</v>
      </c>
      <c r="D86" s="139"/>
      <c r="E86" s="140">
        <v>8474.0910000000003</v>
      </c>
      <c r="F86" s="137"/>
      <c r="G86" s="137"/>
      <c r="H86" s="141"/>
      <c r="I86" s="142">
        <v>10514.8</v>
      </c>
      <c r="J86" s="142">
        <v>1156</v>
      </c>
    </row>
    <row r="87" spans="1:11" hidden="1" x14ac:dyDescent="0.2">
      <c r="A87" s="127"/>
      <c r="B87" s="43" t="s">
        <v>64</v>
      </c>
      <c r="C87" s="134"/>
      <c r="D87" s="139"/>
      <c r="E87" s="143"/>
      <c r="F87" s="137"/>
      <c r="G87" s="137"/>
      <c r="H87" s="141"/>
      <c r="I87" s="144">
        <v>5360</v>
      </c>
    </row>
    <row r="88" spans="1:11" hidden="1" x14ac:dyDescent="0.2">
      <c r="A88" s="127"/>
      <c r="B88" s="43" t="s">
        <v>132</v>
      </c>
      <c r="C88" s="134"/>
      <c r="D88" s="139"/>
      <c r="E88" s="145"/>
      <c r="F88" s="137"/>
      <c r="G88" s="137"/>
      <c r="H88" s="141"/>
      <c r="I88" s="58">
        <v>33273</v>
      </c>
    </row>
    <row r="89" spans="1:11" hidden="1" x14ac:dyDescent="0.2">
      <c r="A89" s="127"/>
      <c r="B89" s="43" t="s">
        <v>133</v>
      </c>
      <c r="C89" s="134"/>
      <c r="D89" s="139"/>
      <c r="E89" s="145"/>
      <c r="F89" s="137"/>
      <c r="G89" s="137"/>
      <c r="H89" s="141"/>
      <c r="I89" s="58">
        <v>3389</v>
      </c>
      <c r="J89">
        <v>1196</v>
      </c>
    </row>
    <row r="90" spans="1:11" hidden="1" x14ac:dyDescent="0.2">
      <c r="A90" s="127"/>
      <c r="B90" s="43" t="s">
        <v>58</v>
      </c>
      <c r="C90" s="134"/>
      <c r="D90" s="139"/>
      <c r="E90" s="146"/>
      <c r="F90" s="137"/>
      <c r="G90" s="137"/>
      <c r="H90" s="141"/>
      <c r="I90" s="71"/>
    </row>
    <row r="91" spans="1:11" hidden="1" x14ac:dyDescent="0.2">
      <c r="A91" s="147"/>
      <c r="B91" s="134" t="s">
        <v>134</v>
      </c>
      <c r="C91" s="134" t="s">
        <v>13</v>
      </c>
      <c r="D91" s="139"/>
      <c r="E91" s="136">
        <v>418</v>
      </c>
      <c r="F91" s="137"/>
      <c r="G91" s="137"/>
      <c r="H91" s="141"/>
    </row>
    <row r="92" spans="1:11" hidden="1" x14ac:dyDescent="0.2">
      <c r="A92" s="77"/>
      <c r="B92" s="148" t="s">
        <v>135</v>
      </c>
      <c r="C92" s="134" t="s">
        <v>13</v>
      </c>
      <c r="D92" s="139"/>
      <c r="E92" s="149">
        <v>16469.3</v>
      </c>
      <c r="F92" s="150"/>
      <c r="G92" s="150"/>
      <c r="H92" s="151"/>
    </row>
    <row r="93" spans="1:11" hidden="1" x14ac:dyDescent="0.2">
      <c r="A93" s="77"/>
      <c r="B93" s="148" t="s">
        <v>136</v>
      </c>
      <c r="C93" s="134" t="s">
        <v>13</v>
      </c>
      <c r="D93" s="139"/>
      <c r="E93" s="136">
        <v>3776.1</v>
      </c>
      <c r="F93" s="150"/>
      <c r="G93" s="150"/>
      <c r="H93" s="151"/>
      <c r="I93" s="57"/>
      <c r="J93" s="84">
        <v>118.3</v>
      </c>
      <c r="K93" s="84">
        <v>1177.9000000000001</v>
      </c>
    </row>
    <row r="94" spans="1:11" hidden="1" x14ac:dyDescent="0.2">
      <c r="A94" s="77"/>
      <c r="B94" s="148" t="s">
        <v>137</v>
      </c>
      <c r="C94" s="134" t="s">
        <v>13</v>
      </c>
      <c r="D94" s="139"/>
      <c r="E94" s="152"/>
      <c r="F94" s="150"/>
      <c r="G94" s="150"/>
      <c r="H94" s="151"/>
    </row>
    <row r="95" spans="1:11" hidden="1" x14ac:dyDescent="0.2">
      <c r="A95" s="77"/>
      <c r="B95" s="148" t="s">
        <v>138</v>
      </c>
      <c r="C95" s="134" t="s">
        <v>13</v>
      </c>
      <c r="D95" s="153"/>
      <c r="E95" s="149">
        <v>4810.7</v>
      </c>
      <c r="F95" s="150"/>
      <c r="G95" s="150"/>
      <c r="H95" s="151"/>
      <c r="I95" s="57"/>
    </row>
    <row r="96" spans="1:11" hidden="1" x14ac:dyDescent="0.2">
      <c r="A96" s="127"/>
      <c r="B96" s="134" t="s">
        <v>139</v>
      </c>
      <c r="C96" s="134" t="s">
        <v>13</v>
      </c>
      <c r="D96" s="139"/>
      <c r="E96" s="149">
        <v>866.2</v>
      </c>
      <c r="F96" s="137"/>
      <c r="G96" s="137"/>
      <c r="H96" s="138"/>
    </row>
    <row r="97" spans="1:9" hidden="1" x14ac:dyDescent="0.2">
      <c r="A97" s="127"/>
      <c r="B97" s="134" t="s">
        <v>140</v>
      </c>
      <c r="C97" s="134" t="s">
        <v>13</v>
      </c>
      <c r="D97" s="139"/>
      <c r="E97" s="154">
        <v>1214.53</v>
      </c>
      <c r="F97" s="137"/>
      <c r="G97" s="137"/>
      <c r="H97" s="141"/>
    </row>
    <row r="98" spans="1:9" hidden="1" x14ac:dyDescent="0.2">
      <c r="A98" s="127"/>
      <c r="B98" s="134" t="s">
        <v>141</v>
      </c>
      <c r="C98" s="134" t="s">
        <v>13</v>
      </c>
      <c r="D98" s="139"/>
      <c r="E98" s="155">
        <v>8.93</v>
      </c>
      <c r="F98" s="137"/>
      <c r="G98" s="137"/>
      <c r="H98" s="141"/>
    </row>
    <row r="99" spans="1:9" hidden="1" x14ac:dyDescent="0.2">
      <c r="A99" s="127"/>
      <c r="B99" s="156" t="s">
        <v>142</v>
      </c>
      <c r="C99" s="134" t="s">
        <v>13</v>
      </c>
      <c r="D99" s="139"/>
      <c r="E99" s="143"/>
      <c r="F99" s="137"/>
      <c r="G99" s="137"/>
      <c r="H99" s="141"/>
    </row>
    <row r="100" spans="1:9" hidden="1" x14ac:dyDescent="0.2">
      <c r="A100" s="127"/>
      <c r="B100" s="134" t="s">
        <v>143</v>
      </c>
      <c r="C100" s="134" t="s">
        <v>13</v>
      </c>
      <c r="D100" s="139"/>
      <c r="E100" s="155">
        <v>37.46</v>
      </c>
      <c r="F100" s="137"/>
      <c r="G100" s="137"/>
      <c r="H100" s="138"/>
      <c r="I100" s="57"/>
    </row>
    <row r="101" spans="1:9" hidden="1" x14ac:dyDescent="0.2">
      <c r="A101" s="127"/>
      <c r="B101" s="157" t="s">
        <v>144</v>
      </c>
      <c r="C101" s="134" t="s">
        <v>13</v>
      </c>
      <c r="D101" s="139"/>
      <c r="E101" s="158">
        <v>865.423</v>
      </c>
      <c r="F101" s="137"/>
      <c r="G101" s="137"/>
      <c r="H101" s="141"/>
      <c r="I101" s="159"/>
    </row>
    <row r="102" spans="1:9" hidden="1" x14ac:dyDescent="0.2">
      <c r="A102" s="127"/>
      <c r="B102" s="134" t="s">
        <v>145</v>
      </c>
      <c r="C102" s="134" t="s">
        <v>13</v>
      </c>
      <c r="D102" s="160">
        <f>1408.928+1320</f>
        <v>2728.9279999999999</v>
      </c>
      <c r="E102" s="161"/>
      <c r="F102" s="137"/>
      <c r="G102" s="137"/>
      <c r="H102" s="141"/>
      <c r="I102" s="159"/>
    </row>
    <row r="103" spans="1:9" hidden="1" x14ac:dyDescent="0.2">
      <c r="A103" s="127"/>
      <c r="B103" s="156" t="s">
        <v>146</v>
      </c>
      <c r="C103" s="134" t="s">
        <v>13</v>
      </c>
      <c r="D103" s="160">
        <f>6803.602+26.785</f>
        <v>6830.3869999999997</v>
      </c>
      <c r="E103" s="162">
        <v>1166</v>
      </c>
      <c r="F103" s="137"/>
      <c r="G103" s="137"/>
      <c r="H103" s="138"/>
      <c r="I103" s="163">
        <v>2616.6</v>
      </c>
    </row>
    <row r="104" spans="1:9" hidden="1" x14ac:dyDescent="0.2">
      <c r="A104" s="127"/>
      <c r="B104" s="156" t="s">
        <v>147</v>
      </c>
      <c r="C104" s="134" t="s">
        <v>13</v>
      </c>
      <c r="D104" s="160">
        <f>18542.214+415</f>
        <v>18957.214</v>
      </c>
      <c r="E104" s="162">
        <v>2690.5</v>
      </c>
      <c r="F104" s="137"/>
      <c r="G104" s="137"/>
      <c r="H104" s="141"/>
      <c r="I104" s="164"/>
    </row>
    <row r="105" spans="1:9" hidden="1" x14ac:dyDescent="0.2">
      <c r="A105" s="127"/>
      <c r="B105" s="134" t="s">
        <v>148</v>
      </c>
      <c r="C105" s="134" t="s">
        <v>13</v>
      </c>
      <c r="D105" s="165"/>
      <c r="E105" s="166"/>
      <c r="F105" s="167"/>
      <c r="G105" s="167"/>
      <c r="H105" s="141"/>
      <c r="I105" s="164"/>
    </row>
    <row r="106" spans="1:9" hidden="1" x14ac:dyDescent="0.2">
      <c r="A106" s="127"/>
      <c r="B106" s="168" t="s">
        <v>149</v>
      </c>
      <c r="C106" s="134" t="s">
        <v>13</v>
      </c>
      <c r="D106" s="169"/>
      <c r="E106" s="162">
        <v>72</v>
      </c>
      <c r="F106" s="170"/>
      <c r="G106" s="170"/>
      <c r="H106" s="141"/>
      <c r="I106" s="171"/>
    </row>
    <row r="107" spans="1:9" hidden="1" x14ac:dyDescent="0.2">
      <c r="A107" s="127"/>
      <c r="B107" s="168" t="s">
        <v>150</v>
      </c>
      <c r="C107" s="134" t="s">
        <v>13</v>
      </c>
      <c r="D107" s="160"/>
      <c r="E107" s="172"/>
      <c r="F107" s="170"/>
      <c r="G107" s="170"/>
      <c r="H107" s="173"/>
      <c r="I107" s="164"/>
    </row>
    <row r="108" spans="1:9" hidden="1" x14ac:dyDescent="0.2">
      <c r="A108" s="127"/>
      <c r="B108" s="134" t="s">
        <v>151</v>
      </c>
      <c r="C108" s="134" t="s">
        <v>13</v>
      </c>
      <c r="D108" s="160"/>
      <c r="E108" s="174"/>
      <c r="F108" s="175"/>
      <c r="G108" s="175"/>
      <c r="H108" s="141"/>
      <c r="I108" s="164"/>
    </row>
    <row r="109" spans="1:9" hidden="1" x14ac:dyDescent="0.2">
      <c r="A109" s="127"/>
      <c r="B109" s="134" t="s">
        <v>152</v>
      </c>
      <c r="C109" s="134" t="s">
        <v>13</v>
      </c>
      <c r="D109" s="176"/>
      <c r="E109" s="162">
        <v>3809.1</v>
      </c>
      <c r="F109" s="177"/>
      <c r="G109" s="175"/>
      <c r="H109" s="141"/>
      <c r="I109" s="171"/>
    </row>
    <row r="110" spans="1:9" hidden="1" x14ac:dyDescent="0.2">
      <c r="A110" s="127"/>
      <c r="B110" s="134" t="s">
        <v>153</v>
      </c>
      <c r="C110" s="134" t="s">
        <v>13</v>
      </c>
      <c r="D110" s="176"/>
      <c r="E110" s="178">
        <v>443.2</v>
      </c>
      <c r="F110" s="177"/>
      <c r="G110" s="175"/>
      <c r="H110" s="141"/>
    </row>
    <row r="111" spans="1:9" hidden="1" x14ac:dyDescent="0.2">
      <c r="A111" s="127"/>
      <c r="B111" s="134" t="s">
        <v>154</v>
      </c>
      <c r="C111" s="134" t="s">
        <v>13</v>
      </c>
      <c r="D111" s="160">
        <f>895.077+583.257</f>
        <v>1478.3339999999998</v>
      </c>
      <c r="E111" s="179"/>
      <c r="F111" s="175"/>
      <c r="G111" s="175"/>
      <c r="H111" s="141"/>
    </row>
    <row r="112" spans="1:9" hidden="1" x14ac:dyDescent="0.2">
      <c r="A112" s="127"/>
      <c r="B112" s="134" t="s">
        <v>155</v>
      </c>
      <c r="C112" s="134" t="s">
        <v>13</v>
      </c>
      <c r="D112" s="160">
        <f>42.533+15.136+4.411+5.606+7.044+1402.333+371.382+104.311+109.965+292.092+215.22</f>
        <v>2570.0329999999999</v>
      </c>
      <c r="E112" s="180"/>
      <c r="F112" s="175"/>
      <c r="G112" s="175"/>
      <c r="H112" s="141"/>
      <c r="I112" s="57"/>
    </row>
    <row r="113" spans="1:9" hidden="1" x14ac:dyDescent="0.2">
      <c r="A113" s="127"/>
      <c r="B113" s="181" t="s">
        <v>156</v>
      </c>
      <c r="C113" s="134" t="s">
        <v>13</v>
      </c>
      <c r="D113" s="160">
        <f>12.66+4664.479+139.339</f>
        <v>4816.4780000000001</v>
      </c>
      <c r="E113" s="179"/>
      <c r="F113" s="175"/>
      <c r="G113" s="175"/>
      <c r="H113" s="141"/>
      <c r="I113" s="57"/>
    </row>
    <row r="114" spans="1:9" hidden="1" x14ac:dyDescent="0.2">
      <c r="A114" s="127"/>
      <c r="B114" s="134" t="s">
        <v>157</v>
      </c>
      <c r="C114" s="134" t="s">
        <v>13</v>
      </c>
      <c r="D114" s="160">
        <v>3632.5120000000002</v>
      </c>
      <c r="E114" s="172"/>
      <c r="F114" s="175"/>
      <c r="G114" s="175"/>
      <c r="H114" s="141"/>
    </row>
    <row r="115" spans="1:9" hidden="1" x14ac:dyDescent="0.2">
      <c r="A115" s="127"/>
      <c r="B115" s="134" t="s">
        <v>158</v>
      </c>
      <c r="C115" s="134" t="s">
        <v>13</v>
      </c>
      <c r="D115" s="160">
        <v>39.284999999999997</v>
      </c>
      <c r="E115" s="174"/>
      <c r="F115" s="175"/>
      <c r="G115" s="175"/>
      <c r="H115" s="141"/>
    </row>
    <row r="116" spans="1:9" hidden="1" x14ac:dyDescent="0.2">
      <c r="A116" s="127"/>
      <c r="B116" s="134" t="s">
        <v>159</v>
      </c>
      <c r="C116" s="134" t="s">
        <v>13</v>
      </c>
      <c r="D116" s="160">
        <f>20.375+31.15+27.908+498.166+17.167+60.809+13.209+5.909</f>
        <v>674.69299999999987</v>
      </c>
      <c r="E116" s="172"/>
      <c r="F116" s="175"/>
      <c r="G116" s="175"/>
      <c r="H116" s="141"/>
    </row>
    <row r="117" spans="1:9" hidden="1" x14ac:dyDescent="0.2">
      <c r="A117" s="127"/>
      <c r="B117" s="156" t="s">
        <v>160</v>
      </c>
      <c r="C117" s="134" t="s">
        <v>13</v>
      </c>
      <c r="D117" s="160">
        <f>746.744+29.772+37.638+45.781+33.484+57.281+79.742+630.875+44.145+16430.578+14017.221+124.443+145.234+224.516+254.25+66.996+4186.844+0.02</f>
        <v>37155.563999999991</v>
      </c>
      <c r="E117" s="166"/>
      <c r="F117" s="175"/>
      <c r="G117" s="175"/>
      <c r="H117" s="138"/>
    </row>
    <row r="118" spans="1:9" hidden="1" x14ac:dyDescent="0.2">
      <c r="A118" s="127"/>
      <c r="B118" s="156" t="s">
        <v>161</v>
      </c>
      <c r="C118" s="134" t="s">
        <v>13</v>
      </c>
      <c r="D118" s="165"/>
      <c r="E118" s="166"/>
      <c r="F118" s="175"/>
      <c r="G118" s="175"/>
      <c r="H118" s="138"/>
    </row>
    <row r="119" spans="1:9" hidden="1" x14ac:dyDescent="0.2">
      <c r="A119" s="120"/>
      <c r="B119" s="134" t="s">
        <v>162</v>
      </c>
      <c r="C119" s="134" t="s">
        <v>13</v>
      </c>
      <c r="D119" s="160">
        <v>2336.6410000000001</v>
      </c>
      <c r="E119" s="172"/>
      <c r="F119" s="175"/>
      <c r="G119" s="175"/>
      <c r="H119" s="138"/>
    </row>
    <row r="120" spans="1:9" hidden="1" x14ac:dyDescent="0.2">
      <c r="A120" s="120"/>
      <c r="B120" s="134" t="s">
        <v>163</v>
      </c>
      <c r="C120" s="134" t="s">
        <v>13</v>
      </c>
      <c r="D120" s="160">
        <f>6.735</f>
        <v>6.7350000000000003</v>
      </c>
      <c r="E120" s="182"/>
      <c r="F120" s="175"/>
      <c r="G120" s="175"/>
      <c r="H120" s="138"/>
    </row>
    <row r="121" spans="1:9" hidden="1" x14ac:dyDescent="0.2">
      <c r="A121" s="120"/>
      <c r="B121" s="134" t="s">
        <v>164</v>
      </c>
      <c r="C121" s="134" t="s">
        <v>13</v>
      </c>
      <c r="D121" s="160">
        <v>6923.625</v>
      </c>
      <c r="E121" s="172"/>
      <c r="F121" s="175"/>
      <c r="G121" s="175"/>
      <c r="H121" s="141"/>
    </row>
    <row r="122" spans="1:9" hidden="1" x14ac:dyDescent="0.2">
      <c r="A122" s="120"/>
      <c r="B122" s="134" t="s">
        <v>165</v>
      </c>
      <c r="C122" s="134" t="s">
        <v>13</v>
      </c>
      <c r="D122" s="160">
        <f>291.983+5.75+96.794+499.348+87.515</f>
        <v>981.39</v>
      </c>
      <c r="E122" s="172"/>
      <c r="F122" s="175"/>
      <c r="G122" s="175"/>
      <c r="H122" s="141"/>
    </row>
    <row r="123" spans="1:9" hidden="1" x14ac:dyDescent="0.2">
      <c r="A123" s="120"/>
      <c r="B123" s="134" t="s">
        <v>166</v>
      </c>
      <c r="C123" s="134" t="s">
        <v>13</v>
      </c>
      <c r="D123" s="165"/>
      <c r="E123" s="172"/>
      <c r="F123" s="175"/>
      <c r="G123" s="175"/>
      <c r="H123" s="141"/>
    </row>
    <row r="124" spans="1:9" hidden="1" x14ac:dyDescent="0.2">
      <c r="A124" s="120"/>
      <c r="B124" s="134" t="s">
        <v>167</v>
      </c>
      <c r="C124" s="134" t="s">
        <v>13</v>
      </c>
      <c r="D124" s="160"/>
      <c r="E124" s="172"/>
      <c r="F124" s="175"/>
      <c r="G124" s="175"/>
      <c r="H124" s="141"/>
    </row>
    <row r="125" spans="1:9" hidden="1" x14ac:dyDescent="0.2">
      <c r="A125" s="120"/>
      <c r="B125" s="134" t="s">
        <v>168</v>
      </c>
      <c r="C125" s="134" t="s">
        <v>13</v>
      </c>
      <c r="D125" s="183">
        <f>10007.402+25.377</f>
        <v>10032.779</v>
      </c>
      <c r="E125" s="172"/>
      <c r="F125" s="175"/>
      <c r="G125" s="175"/>
      <c r="H125" s="141"/>
    </row>
    <row r="126" spans="1:9" hidden="1" x14ac:dyDescent="0.2">
      <c r="A126" s="120"/>
      <c r="B126" s="134" t="s">
        <v>169</v>
      </c>
      <c r="C126" s="134" t="s">
        <v>13</v>
      </c>
      <c r="D126" s="176"/>
      <c r="E126" s="184">
        <v>1081</v>
      </c>
      <c r="F126" s="175"/>
      <c r="G126" s="175"/>
      <c r="H126" s="141"/>
    </row>
    <row r="127" spans="1:9" hidden="1" x14ac:dyDescent="0.2">
      <c r="A127" s="120"/>
      <c r="B127" s="134" t="s">
        <v>170</v>
      </c>
      <c r="C127" s="134" t="s">
        <v>13</v>
      </c>
      <c r="D127" s="160">
        <v>6.0259999999999998</v>
      </c>
      <c r="E127" s="172"/>
      <c r="F127" s="175"/>
      <c r="G127" s="175"/>
      <c r="H127" s="141"/>
    </row>
    <row r="128" spans="1:9" hidden="1" x14ac:dyDescent="0.2">
      <c r="A128" s="120"/>
      <c r="B128" s="134" t="s">
        <v>171</v>
      </c>
      <c r="C128" s="134" t="s">
        <v>13</v>
      </c>
      <c r="D128" s="176"/>
      <c r="E128" s="155">
        <v>2296.96</v>
      </c>
      <c r="F128" s="175"/>
      <c r="G128" s="175"/>
      <c r="H128" s="141"/>
      <c r="I128" s="185"/>
    </row>
    <row r="129" spans="1:9" hidden="1" x14ac:dyDescent="0.2">
      <c r="A129" s="120"/>
      <c r="B129" s="134" t="s">
        <v>172</v>
      </c>
      <c r="C129" s="134" t="s">
        <v>13</v>
      </c>
      <c r="D129" s="176"/>
      <c r="E129" s="186"/>
      <c r="F129" s="175"/>
      <c r="G129" s="175"/>
      <c r="H129" s="141"/>
      <c r="I129" s="164"/>
    </row>
    <row r="130" spans="1:9" hidden="1" x14ac:dyDescent="0.2">
      <c r="A130" s="120"/>
      <c r="B130" s="134" t="s">
        <v>173</v>
      </c>
      <c r="C130" s="134" t="s">
        <v>13</v>
      </c>
      <c r="D130" s="176"/>
      <c r="E130" s="187"/>
      <c r="F130" s="175"/>
      <c r="G130" s="175"/>
      <c r="H130" s="141"/>
      <c r="I130" s="164"/>
    </row>
    <row r="131" spans="1:9" hidden="1" x14ac:dyDescent="0.2">
      <c r="A131" s="120"/>
      <c r="B131" s="134" t="s">
        <v>174</v>
      </c>
      <c r="C131" s="134" t="s">
        <v>13</v>
      </c>
      <c r="D131" s="176"/>
      <c r="E131" s="155">
        <v>565.16</v>
      </c>
      <c r="F131" s="175"/>
      <c r="G131" s="175"/>
      <c r="H131" s="141"/>
      <c r="I131" s="164"/>
    </row>
    <row r="132" spans="1:9" hidden="1" x14ac:dyDescent="0.2">
      <c r="A132" s="120"/>
      <c r="B132" s="134" t="s">
        <v>175</v>
      </c>
      <c r="C132" s="134" t="s">
        <v>13</v>
      </c>
      <c r="D132" s="176">
        <v>5780.4120000000003</v>
      </c>
      <c r="E132" s="143"/>
      <c r="F132" s="175"/>
      <c r="G132" s="175"/>
      <c r="H132" s="141"/>
      <c r="I132" s="188">
        <f>E135+E113+E109+E101+E50+E27+E86+E88</f>
        <v>628838.51400000008</v>
      </c>
    </row>
    <row r="133" spans="1:9" hidden="1" x14ac:dyDescent="0.2">
      <c r="A133" s="120"/>
      <c r="B133" s="134" t="s">
        <v>176</v>
      </c>
      <c r="C133" s="134" t="s">
        <v>13</v>
      </c>
      <c r="D133" s="176"/>
      <c r="E133" s="155">
        <v>1720.95</v>
      </c>
      <c r="F133" s="175"/>
      <c r="G133" s="175"/>
      <c r="H133" s="141"/>
      <c r="I133" s="188"/>
    </row>
    <row r="134" spans="1:9" hidden="1" x14ac:dyDescent="0.2">
      <c r="A134" s="120"/>
      <c r="B134" s="134" t="s">
        <v>177</v>
      </c>
      <c r="C134" s="134" t="s">
        <v>13</v>
      </c>
      <c r="D134" s="176">
        <v>2561.607</v>
      </c>
      <c r="E134" s="155">
        <v>4044.3</v>
      </c>
      <c r="F134" s="175"/>
      <c r="G134" s="175"/>
      <c r="H134" s="141"/>
      <c r="I134" s="189" t="e">
        <f>E110+E137+E89+E51+E28+#REF!</f>
        <v>#REF!</v>
      </c>
    </row>
    <row r="135" spans="1:9" hidden="1" x14ac:dyDescent="0.2">
      <c r="A135" s="120"/>
      <c r="B135" s="134" t="s">
        <v>178</v>
      </c>
      <c r="C135" s="134" t="s">
        <v>13</v>
      </c>
      <c r="D135" s="176"/>
      <c r="E135" s="155">
        <v>2014.5</v>
      </c>
      <c r="F135" s="68"/>
      <c r="G135" s="175"/>
      <c r="H135" s="141"/>
      <c r="I135" s="185"/>
    </row>
    <row r="136" spans="1:9" hidden="1" x14ac:dyDescent="0.2">
      <c r="A136" s="120"/>
      <c r="B136" s="134" t="s">
        <v>179</v>
      </c>
      <c r="C136" s="134" t="s">
        <v>13</v>
      </c>
      <c r="D136" s="176"/>
      <c r="E136" s="190"/>
      <c r="F136" s="175"/>
      <c r="G136" s="175"/>
      <c r="H136" s="141"/>
      <c r="I136" s="191"/>
    </row>
    <row r="137" spans="1:9" hidden="1" x14ac:dyDescent="0.2">
      <c r="A137" s="120"/>
      <c r="B137" s="134" t="s">
        <v>180</v>
      </c>
      <c r="C137" s="134" t="s">
        <v>13</v>
      </c>
      <c r="D137" s="176"/>
      <c r="E137" s="155">
        <v>225.7</v>
      </c>
      <c r="F137" s="175"/>
      <c r="G137" s="146"/>
      <c r="H137" s="141"/>
      <c r="I137" s="191"/>
    </row>
    <row r="138" spans="1:9" hidden="1" x14ac:dyDescent="0.2">
      <c r="A138" s="120"/>
      <c r="B138" s="134" t="s">
        <v>181</v>
      </c>
      <c r="C138" s="134"/>
      <c r="D138" s="176"/>
      <c r="E138" s="155">
        <v>4525</v>
      </c>
      <c r="F138" s="175"/>
      <c r="G138" s="146"/>
      <c r="H138" s="141"/>
      <c r="I138" s="191"/>
    </row>
    <row r="139" spans="1:9" hidden="1" x14ac:dyDescent="0.2">
      <c r="A139" s="120"/>
      <c r="B139" s="134" t="s">
        <v>182</v>
      </c>
      <c r="C139" s="134" t="s">
        <v>13</v>
      </c>
      <c r="D139" s="153"/>
      <c r="E139" s="155">
        <v>313.27999999999997</v>
      </c>
      <c r="F139" s="175"/>
      <c r="G139" s="175"/>
      <c r="H139" s="141"/>
      <c r="I139" s="185"/>
    </row>
    <row r="140" spans="1:9" hidden="1" x14ac:dyDescent="0.2">
      <c r="A140" s="120"/>
      <c r="B140" s="134" t="s">
        <v>183</v>
      </c>
      <c r="C140" s="134" t="s">
        <v>13</v>
      </c>
      <c r="D140" s="153"/>
      <c r="E140" s="192"/>
      <c r="F140" s="175"/>
      <c r="G140" s="175"/>
      <c r="H140" s="141"/>
      <c r="I140" s="57"/>
    </row>
    <row r="141" spans="1:9" hidden="1" x14ac:dyDescent="0.2">
      <c r="A141" s="120"/>
      <c r="B141" s="157" t="s">
        <v>184</v>
      </c>
      <c r="C141" s="134" t="s">
        <v>13</v>
      </c>
      <c r="D141" s="193">
        <f>SUM(D85:D140)</f>
        <v>107512.64299999998</v>
      </c>
      <c r="E141" s="194">
        <f>SUM(E85:E140)</f>
        <v>62232.983999999989</v>
      </c>
      <c r="F141" s="175"/>
      <c r="G141" s="175"/>
      <c r="H141" s="141"/>
      <c r="I141" s="57"/>
    </row>
    <row r="142" spans="1:9" hidden="1" x14ac:dyDescent="0.2">
      <c r="A142" s="120"/>
      <c r="B142" s="157" t="s">
        <v>185</v>
      </c>
      <c r="C142" s="134" t="s">
        <v>13</v>
      </c>
      <c r="D142" s="60"/>
      <c r="E142" s="194">
        <f>D141-E141</f>
        <v>45279.658999999992</v>
      </c>
      <c r="F142" s="175"/>
      <c r="G142" s="68"/>
      <c r="H142" s="141"/>
      <c r="I142" s="57"/>
    </row>
    <row r="143" spans="1:9" ht="13.5" hidden="1" thickBot="1" x14ac:dyDescent="0.25">
      <c r="A143" s="195"/>
      <c r="B143" s="196" t="s">
        <v>186</v>
      </c>
      <c r="C143" s="196" t="s">
        <v>13</v>
      </c>
      <c r="D143" s="197"/>
      <c r="E143" s="198">
        <f>E142+E78</f>
        <v>45279.696000000004</v>
      </c>
      <c r="F143" s="199"/>
      <c r="G143" s="199"/>
      <c r="H143" s="200"/>
      <c r="I143" s="57"/>
    </row>
    <row r="144" spans="1:9" hidden="1" x14ac:dyDescent="0.2">
      <c r="A144" s="201"/>
      <c r="B144" s="202"/>
      <c r="C144" s="202"/>
      <c r="D144" s="203">
        <f>(2157819383.21-2056087150.8)/1000</f>
        <v>101732.23241000008</v>
      </c>
      <c r="E144" s="204">
        <f>E141+E18+E48</f>
        <v>1770063.987</v>
      </c>
      <c r="F144" s="205"/>
      <c r="G144" s="206"/>
      <c r="H144" s="201"/>
    </row>
    <row r="145" spans="1:8" hidden="1" x14ac:dyDescent="0.2">
      <c r="A145" s="201"/>
      <c r="B145" s="202"/>
      <c r="C145" s="202"/>
      <c r="D145" s="205">
        <f>D144-D141</f>
        <v>-5780.4105899998976</v>
      </c>
      <c r="E145" s="207"/>
      <c r="F145" s="205">
        <f>E144-E145</f>
        <v>1770063.987</v>
      </c>
      <c r="G145" s="205"/>
      <c r="H145" s="208">
        <f>G145-F145</f>
        <v>-1770063.987</v>
      </c>
    </row>
    <row r="146" spans="1:8" s="210" customFormat="1" ht="22.5" customHeight="1" x14ac:dyDescent="0.25">
      <c r="A146" s="209" t="s">
        <v>187</v>
      </c>
      <c r="B146" s="209"/>
      <c r="C146" s="209"/>
      <c r="D146" s="209"/>
      <c r="E146" s="209"/>
      <c r="F146" s="209"/>
      <c r="G146" s="209"/>
      <c r="H146" s="209"/>
    </row>
    <row r="147" spans="1:8" s="210" customFormat="1" ht="23.25" customHeight="1" x14ac:dyDescent="0.25">
      <c r="A147" s="209" t="s">
        <v>188</v>
      </c>
      <c r="B147" s="209"/>
      <c r="C147" s="209"/>
      <c r="D147" s="209"/>
      <c r="E147" s="209"/>
      <c r="F147" s="209"/>
      <c r="G147" s="209"/>
      <c r="H147" s="209"/>
    </row>
    <row r="148" spans="1:8" s="210" customFormat="1" ht="21.75" customHeight="1" x14ac:dyDescent="0.25">
      <c r="A148" s="209" t="s">
        <v>189</v>
      </c>
      <c r="B148" s="209"/>
      <c r="C148" s="209"/>
      <c r="D148" s="209"/>
      <c r="E148" s="209"/>
      <c r="F148" s="209"/>
      <c r="G148" s="209"/>
      <c r="H148" s="209"/>
    </row>
    <row r="149" spans="1:8" s="210" customFormat="1" ht="23.25" customHeight="1" x14ac:dyDescent="0.25">
      <c r="A149" s="209" t="s">
        <v>190</v>
      </c>
      <c r="B149" s="209"/>
      <c r="C149" s="209"/>
      <c r="D149" s="209"/>
      <c r="E149" s="209"/>
      <c r="F149" s="209"/>
      <c r="G149" s="209"/>
      <c r="H149" s="209"/>
    </row>
    <row r="150" spans="1:8" s="210" customFormat="1" ht="21.75" customHeight="1" x14ac:dyDescent="0.25">
      <c r="A150" s="209" t="s">
        <v>191</v>
      </c>
      <c r="B150" s="209"/>
      <c r="C150" s="209"/>
      <c r="D150" s="209"/>
      <c r="E150" s="209"/>
      <c r="F150" s="209"/>
      <c r="G150" s="209"/>
      <c r="H150" s="209"/>
    </row>
    <row r="151" spans="1:8" s="210" customFormat="1" ht="21.75" customHeight="1" x14ac:dyDescent="0.25">
      <c r="A151" s="211"/>
      <c r="B151" s="212"/>
      <c r="C151" s="212"/>
      <c r="D151" s="211"/>
      <c r="E151" s="211"/>
      <c r="F151" s="211"/>
      <c r="G151" s="211"/>
      <c r="H151" s="211"/>
    </row>
    <row r="152" spans="1:8" s="213" customFormat="1" ht="29.25" customHeight="1" x14ac:dyDescent="0.2">
      <c r="A152" s="4" t="s">
        <v>192</v>
      </c>
      <c r="B152" s="4"/>
      <c r="C152" s="4"/>
      <c r="D152" s="4"/>
      <c r="E152" s="4"/>
      <c r="F152" s="4"/>
      <c r="G152" s="4"/>
      <c r="H152" s="4"/>
    </row>
    <row r="153" spans="1:8" s="213" customFormat="1" ht="39.75" customHeight="1" x14ac:dyDescent="0.2">
      <c r="A153" s="214" t="s">
        <v>193</v>
      </c>
      <c r="B153" s="214"/>
      <c r="C153" s="214"/>
      <c r="D153" s="214"/>
      <c r="E153" s="214"/>
      <c r="F153" s="214"/>
      <c r="G153" s="214"/>
      <c r="H153" s="214"/>
    </row>
    <row r="154" spans="1:8" s="210" customFormat="1" ht="18.75" x14ac:dyDescent="0.25">
      <c r="A154" s="211" t="s">
        <v>194</v>
      </c>
      <c r="B154" s="215"/>
      <c r="C154" s="215"/>
      <c r="D154" s="216"/>
      <c r="E154" s="216"/>
      <c r="F154" s="216"/>
      <c r="G154" s="216"/>
      <c r="H154" s="216"/>
    </row>
    <row r="155" spans="1:8" s="210" customFormat="1" ht="18.75" x14ac:dyDescent="0.25">
      <c r="A155" s="217"/>
      <c r="B155" s="209"/>
      <c r="C155" s="209"/>
      <c r="D155" s="209"/>
      <c r="E155" s="209"/>
      <c r="F155" s="209"/>
      <c r="G155" s="209"/>
      <c r="H155" s="209"/>
    </row>
    <row r="156" spans="1:8" ht="15.75" x14ac:dyDescent="0.2">
      <c r="A156" s="218" t="s">
        <v>195</v>
      </c>
      <c r="B156" s="219"/>
      <c r="C156" s="219"/>
      <c r="D156" s="1"/>
      <c r="E156" s="1"/>
      <c r="F156" s="1"/>
      <c r="G156" s="1"/>
      <c r="H156" s="1"/>
    </row>
  </sheetData>
  <mergeCells count="37">
    <mergeCell ref="A152:H152"/>
    <mergeCell ref="A153:H153"/>
    <mergeCell ref="A155:H155"/>
    <mergeCell ref="H83:H84"/>
    <mergeCell ref="A146:H146"/>
    <mergeCell ref="A147:H147"/>
    <mergeCell ref="A148:H148"/>
    <mergeCell ref="A149:H149"/>
    <mergeCell ref="A150:H150"/>
    <mergeCell ref="B83:B84"/>
    <mergeCell ref="C83:C84"/>
    <mergeCell ref="D83:D84"/>
    <mergeCell ref="E83:E84"/>
    <mergeCell ref="F83:F84"/>
    <mergeCell ref="G83:G84"/>
    <mergeCell ref="G13:G16"/>
    <mergeCell ref="H13:H16"/>
    <mergeCell ref="A76:A77"/>
    <mergeCell ref="B76:B77"/>
    <mergeCell ref="A79:A80"/>
    <mergeCell ref="B79:B80"/>
    <mergeCell ref="A9:H9"/>
    <mergeCell ref="A10:H10"/>
    <mergeCell ref="A11:H11"/>
    <mergeCell ref="A12:H12"/>
    <mergeCell ref="A13:A16"/>
    <mergeCell ref="B13:B16"/>
    <mergeCell ref="C13:C16"/>
    <mergeCell ref="D13:D16"/>
    <mergeCell ref="E13:E16"/>
    <mergeCell ref="F13:F16"/>
    <mergeCell ref="F1:H1"/>
    <mergeCell ref="A2:H2"/>
    <mergeCell ref="A3:H3"/>
    <mergeCell ref="A5:H5"/>
    <mergeCell ref="A7:H7"/>
    <mergeCell ref="A8:H8"/>
  </mergeCells>
  <printOptions horizontalCentered="1"/>
  <pageMargins left="0.55118110236220474" right="0.19685039370078741" top="0.19685039370078741" bottom="0.19685039370078741" header="0.19685039370078741" footer="0.19685039370078741"/>
  <pageSetup paperSize="9" scale="66" fitToHeight="2" orientation="portrait" r:id="rId1"/>
  <headerFooter alignWithMargins="0"/>
  <rowBreaks count="1" manualBreakCount="1">
    <brk id="4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 тар смет.за 2019 6 м (х </vt:lpstr>
      <vt:lpstr>'исполн тар смет.за 2019 6 м (х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2019-06-11T08:49:24Z</dcterms:created>
  <dcterms:modified xsi:type="dcterms:W3CDTF">2019-06-11T08:50:50Z</dcterms:modified>
</cp:coreProperties>
</file>