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codeName="ЭтаКнига" defaultThemeVersion="124226"/>
  <bookViews>
    <workbookView xWindow="0" yWindow="0" windowWidth="9570" windowHeight="2085"/>
  </bookViews>
  <sheets>
    <sheet name="исполнения тар.сметы за 1 п2017" sheetId="179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70" i="179"/>
  <c r="E32"/>
  <c r="D32"/>
  <c r="D18"/>
  <c r="E129"/>
  <c r="E127"/>
  <c r="E125"/>
  <c r="D121"/>
  <c r="D117"/>
  <c r="D115"/>
  <c r="D114"/>
  <c r="D113"/>
  <c r="D112"/>
  <c r="D111"/>
  <c r="D109"/>
  <c r="D108"/>
  <c r="D107"/>
  <c r="D100"/>
  <c r="D99"/>
  <c r="D98"/>
  <c r="E96"/>
  <c r="E94"/>
  <c r="E93"/>
  <c r="E89"/>
  <c r="K51"/>
  <c r="K53"/>
  <c r="D87"/>
  <c r="E85"/>
  <c r="E83"/>
  <c r="E82"/>
  <c r="E81"/>
  <c r="G75"/>
  <c r="F75"/>
  <c r="G74"/>
  <c r="F74"/>
  <c r="G72"/>
  <c r="G71"/>
  <c r="F71"/>
  <c r="F68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E52"/>
  <c r="D52"/>
  <c r="G51"/>
  <c r="F51"/>
  <c r="G50"/>
  <c r="F50"/>
  <c r="G49"/>
  <c r="F49"/>
  <c r="G48"/>
  <c r="F48"/>
  <c r="G47"/>
  <c r="F47"/>
  <c r="E46"/>
  <c r="D46"/>
  <c r="G45"/>
  <c r="F45"/>
  <c r="I44"/>
  <c r="D44"/>
  <c r="F44"/>
  <c r="G43"/>
  <c r="F43"/>
  <c r="G42"/>
  <c r="F42"/>
  <c r="G39"/>
  <c r="F39"/>
  <c r="G38"/>
  <c r="F38"/>
  <c r="G37"/>
  <c r="F37"/>
  <c r="G36"/>
  <c r="F36"/>
  <c r="G35"/>
  <c r="F35"/>
  <c r="G34"/>
  <c r="F34"/>
  <c r="G33"/>
  <c r="F33"/>
  <c r="E18"/>
  <c r="G31"/>
  <c r="F31"/>
  <c r="G30"/>
  <c r="F30"/>
  <c r="E29"/>
  <c r="G29"/>
  <c r="D29"/>
  <c r="K28"/>
  <c r="M28"/>
  <c r="G28"/>
  <c r="F28"/>
  <c r="K27"/>
  <c r="G27"/>
  <c r="F27"/>
  <c r="E26"/>
  <c r="D26"/>
  <c r="G25"/>
  <c r="F25"/>
  <c r="G24"/>
  <c r="F24"/>
  <c r="G23"/>
  <c r="F23"/>
  <c r="G22"/>
  <c r="F22"/>
  <c r="G21"/>
  <c r="F21"/>
  <c r="E19"/>
  <c r="D19"/>
  <c r="F29"/>
  <c r="E136"/>
  <c r="E137"/>
  <c r="D136"/>
  <c r="I129"/>
  <c r="F32"/>
  <c r="D41"/>
  <c r="D40"/>
  <c r="D67"/>
  <c r="D70"/>
  <c r="G52"/>
  <c r="F19"/>
  <c r="G26"/>
  <c r="F26"/>
  <c r="G32"/>
  <c r="F46"/>
  <c r="F52"/>
  <c r="G19"/>
  <c r="G46"/>
  <c r="F72"/>
  <c r="F76"/>
  <c r="I128"/>
  <c r="E41"/>
  <c r="G41"/>
  <c r="E40"/>
  <c r="E67"/>
  <c r="F41"/>
  <c r="F18"/>
  <c r="G18"/>
  <c r="F40"/>
  <c r="G40"/>
  <c r="F67"/>
  <c r="G67"/>
  <c r="F70"/>
  <c r="G70"/>
  <c r="E73"/>
  <c r="F73"/>
  <c r="G73"/>
  <c r="E138"/>
</calcChain>
</file>

<file path=xl/sharedStrings.xml><?xml version="1.0" encoding="utf-8"?>
<sst xmlns="http://schemas.openxmlformats.org/spreadsheetml/2006/main" count="305" uniqueCount="196">
  <si>
    <t>Наименование показателей</t>
  </si>
  <si>
    <t>Материальные затраты, всего</t>
  </si>
  <si>
    <t xml:space="preserve">Затраты на оплату труда, в том числе </t>
  </si>
  <si>
    <t>заработная плата</t>
  </si>
  <si>
    <t>социальный налог</t>
  </si>
  <si>
    <t>Ремонт, всего</t>
  </si>
  <si>
    <t>водоснабжение и канализация</t>
  </si>
  <si>
    <t>отопление и г/вс</t>
  </si>
  <si>
    <t>5*5</t>
  </si>
  <si>
    <t>услуги охраны труда и тех.безопасности</t>
  </si>
  <si>
    <t>командировочные расходы</t>
  </si>
  <si>
    <t>техосмотр автотранспорта</t>
  </si>
  <si>
    <t>привлечение автотранспорта</t>
  </si>
  <si>
    <t>II.</t>
  </si>
  <si>
    <t>социальное страхование</t>
  </si>
  <si>
    <t>типографские</t>
  </si>
  <si>
    <t>III</t>
  </si>
  <si>
    <t>тыс.кВт.ч</t>
  </si>
  <si>
    <t>YII</t>
  </si>
  <si>
    <t>YIII</t>
  </si>
  <si>
    <t>IX</t>
  </si>
  <si>
    <t xml:space="preserve"> повторное подключение</t>
  </si>
  <si>
    <t>Обьем оказываемых услуг реализации</t>
  </si>
  <si>
    <t>Тариф за 1квтч без НДС</t>
  </si>
  <si>
    <t>%</t>
  </si>
  <si>
    <t>тыс.тенге</t>
  </si>
  <si>
    <t>в том числе:</t>
  </si>
  <si>
    <t>тенге</t>
  </si>
  <si>
    <t>1.</t>
  </si>
  <si>
    <t>1*3</t>
  </si>
  <si>
    <t>1*4</t>
  </si>
  <si>
    <t>2.</t>
  </si>
  <si>
    <t>2*1</t>
  </si>
  <si>
    <t>2*2</t>
  </si>
  <si>
    <t>2*3</t>
  </si>
  <si>
    <t>3.</t>
  </si>
  <si>
    <t>Амортизация</t>
  </si>
  <si>
    <t>4.</t>
  </si>
  <si>
    <t>ГСМ</t>
  </si>
  <si>
    <t>5.</t>
  </si>
  <si>
    <t>5*1</t>
  </si>
  <si>
    <t>5*2</t>
  </si>
  <si>
    <t>5*3</t>
  </si>
  <si>
    <t>6.</t>
  </si>
  <si>
    <t>6*1</t>
  </si>
  <si>
    <t>6*3</t>
  </si>
  <si>
    <t>экология</t>
  </si>
  <si>
    <t>топливо</t>
  </si>
  <si>
    <t>услуги связи</t>
  </si>
  <si>
    <t>сырье и материалы</t>
  </si>
  <si>
    <t>вневедомственная охрана</t>
  </si>
  <si>
    <t>госэнергоэкспертиза</t>
  </si>
  <si>
    <t>арендная плата</t>
  </si>
  <si>
    <t>услуги банка</t>
  </si>
  <si>
    <t>1*2</t>
  </si>
  <si>
    <t>5*4</t>
  </si>
  <si>
    <t>социальное страхования</t>
  </si>
  <si>
    <t>доплаты за спм</t>
  </si>
  <si>
    <t>I.</t>
  </si>
  <si>
    <t>Прочие доходы и расходы не входящие в  исполнение тарифной сметы:</t>
  </si>
  <si>
    <t>Итого по разделу II</t>
  </si>
  <si>
    <t>Общая прибыль(+) ( по разделу I и II)</t>
  </si>
  <si>
    <t>аренда помещении,</t>
  </si>
  <si>
    <t>аренда транспорта</t>
  </si>
  <si>
    <t>ремонт и испыт.трансформатора</t>
  </si>
  <si>
    <t>представительские расходы</t>
  </si>
  <si>
    <t xml:space="preserve">повышение квалификации </t>
  </si>
  <si>
    <t>налоговые платежи  и сборы</t>
  </si>
  <si>
    <t>реактивная мощность</t>
  </si>
  <si>
    <t>отчисление соц налога (от з/пл иной деятельности)</t>
  </si>
  <si>
    <t>Доходы</t>
  </si>
  <si>
    <t>Расходы</t>
  </si>
  <si>
    <t>Прибыль (+), убыток (-) по II разделу</t>
  </si>
  <si>
    <t>возмещение ущерба</t>
  </si>
  <si>
    <t>списание реал  основных средств</t>
  </si>
  <si>
    <t xml:space="preserve">техническое  обслуживание </t>
  </si>
  <si>
    <t>Замена и монтажа 1-ф и 2ф</t>
  </si>
  <si>
    <t>мат  на иную деятельность</t>
  </si>
  <si>
    <t>командировочные на иную деятельность</t>
  </si>
  <si>
    <t>Прочие затраты</t>
  </si>
  <si>
    <t>5*6</t>
  </si>
  <si>
    <t>5*7</t>
  </si>
  <si>
    <t>обязательные   виды страхования</t>
  </si>
  <si>
    <t>Расходы периода,всего</t>
  </si>
  <si>
    <t>Общие и административные расходы,в.т.ч.</t>
  </si>
  <si>
    <t>Заработная плата администра.персонала</t>
  </si>
  <si>
    <t>Другие расходы всего в том числе</t>
  </si>
  <si>
    <t>канцелярские товары</t>
  </si>
  <si>
    <t>метрология</t>
  </si>
  <si>
    <t>почтовая связь</t>
  </si>
  <si>
    <t>публикация обьявлений</t>
  </si>
  <si>
    <t>техническая документация и экспертиза</t>
  </si>
  <si>
    <t>услуги (товары,работы) регистратора</t>
  </si>
  <si>
    <t>обеспечение программы</t>
  </si>
  <si>
    <t>IY</t>
  </si>
  <si>
    <t>Y</t>
  </si>
  <si>
    <t>ремонт и обслуживание оргтехники,расх мат .</t>
  </si>
  <si>
    <t>Прочие -проект.раб</t>
  </si>
  <si>
    <t>Испытание электрооборуд.</t>
  </si>
  <si>
    <t>автоуслуги (иной деят)груз  ар спец тех</t>
  </si>
  <si>
    <t>Услуги столярного цеха</t>
  </si>
  <si>
    <t>оплата аудиторских и юр. услуг</t>
  </si>
  <si>
    <t>Расходы по оформ.зем.уч.</t>
  </si>
  <si>
    <t>З/плата по изг. Металлоизд  иной деят</t>
  </si>
  <si>
    <t>Расходы по культ мероп</t>
  </si>
  <si>
    <t>об кас аппар</t>
  </si>
  <si>
    <t>ГСМ на иную деятельность</t>
  </si>
  <si>
    <t>Прочие ФОТ Дружба</t>
  </si>
  <si>
    <t xml:space="preserve">Прочие ФОТ </t>
  </si>
  <si>
    <t>отчисление соц налога ( иной деятельности)</t>
  </si>
  <si>
    <t>амортизация иная</t>
  </si>
  <si>
    <t>Строительно монтажные работы</t>
  </si>
  <si>
    <t>Гос пошлина ,пеня и штрафы</t>
  </si>
  <si>
    <t>доступ к пакету тендерной информации</t>
  </si>
  <si>
    <t>прочие услуги</t>
  </si>
  <si>
    <t>аренда земельного участка</t>
  </si>
  <si>
    <t xml:space="preserve"> от прочих реализации </t>
  </si>
  <si>
    <t>испытание защитных средств</t>
  </si>
  <si>
    <t>замена ввода 2 проводов и 4 проводов</t>
  </si>
  <si>
    <t>монтаж КТП 10/0,4 кВ</t>
  </si>
  <si>
    <t>доход по вознограждениям</t>
  </si>
  <si>
    <t>Услуги гео.геодезическая раб.иная</t>
  </si>
  <si>
    <t>Единицы измерения</t>
  </si>
  <si>
    <t>Приложение 1
к Правилам утверждения
предельного уровня тарифов
(цен, ставок сборов) и тарифных
смет на регулируемые услуги
(товары, работы) субъектов
естественных монополий</t>
  </si>
  <si>
    <t>Форма, предназначенная для сбора административных данных</t>
  </si>
  <si>
    <t>Сведения об исполнении тарифной сметы на регулируемые услуги</t>
  </si>
  <si>
    <t>Индекс ИТС-1</t>
  </si>
  <si>
    <r>
      <rPr>
        <b/>
        <sz val="14"/>
        <color indexed="8"/>
        <rFont val="Times New Roman"/>
        <family val="1"/>
        <charset val="204"/>
      </rPr>
      <t>Представляют:</t>
    </r>
    <r>
      <rPr>
        <sz val="14"/>
        <color indexed="8"/>
        <rFont val="Times New Roman"/>
        <family val="1"/>
        <charset val="204"/>
      </rPr>
      <t xml:space="preserve"> АО "ТАТЭК"</t>
    </r>
  </si>
  <si>
    <r>
      <rPr>
        <b/>
        <sz val="14"/>
        <color indexed="8"/>
        <rFont val="Times New Roman"/>
        <family val="1"/>
        <charset val="204"/>
      </rPr>
      <t>Куда представляется форма:</t>
    </r>
    <r>
      <rPr>
        <sz val="14"/>
        <color indexed="8"/>
        <rFont val="Times New Roman"/>
        <family val="1"/>
        <charset val="204"/>
      </rPr>
      <t xml:space="preserve"> Комитет по регулированию естественных монополий и защите конкуренции Министерства национальной экономики Республики Казахстан</t>
    </r>
  </si>
  <si>
    <r>
      <rPr>
        <b/>
        <sz val="14"/>
        <color indexed="8"/>
        <rFont val="Times New Roman"/>
        <family val="1"/>
        <charset val="204"/>
      </rPr>
      <t>Срок предоставления</t>
    </r>
    <r>
      <rPr>
        <sz val="14"/>
        <color indexed="8"/>
        <rFont val="Times New Roman"/>
        <family val="1"/>
        <charset val="204"/>
      </rPr>
      <t xml:space="preserve"> - ежегодно не позднее 1 мая года, следующего за отчетным периодом</t>
    </r>
  </si>
  <si>
    <t>№  п/п</t>
  </si>
  <si>
    <t>Предусмотрено в утвержденной тарифной смете</t>
  </si>
  <si>
    <t>Фактические сложившиеся показателей тарифной сметы</t>
  </si>
  <si>
    <t>отклонение в %</t>
  </si>
  <si>
    <t xml:space="preserve">   Причины отклонения</t>
  </si>
  <si>
    <t>абсолют    гр 6/гр 4</t>
  </si>
  <si>
    <t>Затраты на производство товаров и предоставление услуг, в том числе:</t>
  </si>
  <si>
    <t>покупные изделия(эл.энергия потери)</t>
  </si>
  <si>
    <t>1*5</t>
  </si>
  <si>
    <t>и.д</t>
  </si>
  <si>
    <t>одной строкой</t>
  </si>
  <si>
    <t>рем ф</t>
  </si>
  <si>
    <t>для арема</t>
  </si>
  <si>
    <t>1748 в вне.вед.ох</t>
  </si>
  <si>
    <t>6*2</t>
  </si>
  <si>
    <t>прочие расходы</t>
  </si>
  <si>
    <t>7*1</t>
  </si>
  <si>
    <t>7*2</t>
  </si>
  <si>
    <t>7*3</t>
  </si>
  <si>
    <t>7*4</t>
  </si>
  <si>
    <t>8*1</t>
  </si>
  <si>
    <t>8*2</t>
  </si>
  <si>
    <t>8*3</t>
  </si>
  <si>
    <t>8*4</t>
  </si>
  <si>
    <t>8*5</t>
  </si>
  <si>
    <t>8*6</t>
  </si>
  <si>
    <t>8*7</t>
  </si>
  <si>
    <t>8*8</t>
  </si>
  <si>
    <t>8*9</t>
  </si>
  <si>
    <t>8*10</t>
  </si>
  <si>
    <t>8*11</t>
  </si>
  <si>
    <t>8*12</t>
  </si>
  <si>
    <t>8*13</t>
  </si>
  <si>
    <t>8*14</t>
  </si>
  <si>
    <t>Всего затрат на предоставление услуг</t>
  </si>
  <si>
    <t>Доход (РБА*СП)</t>
  </si>
  <si>
    <t>Регулируемая база задейственных активов (РБА)</t>
  </si>
  <si>
    <t>Всего доход</t>
  </si>
  <si>
    <r>
      <t>нормативные потери</t>
    </r>
    <r>
      <rPr>
        <sz val="10"/>
        <rFont val="Times New Roman"/>
        <family val="1"/>
        <charset val="204"/>
      </rPr>
      <t xml:space="preserve"> </t>
    </r>
  </si>
  <si>
    <t>командировочные  ЧСД</t>
  </si>
  <si>
    <t>ФОТ ЧСД</t>
  </si>
  <si>
    <t>ФОТ ЧСД соц нал.</t>
  </si>
  <si>
    <t>ЗП иная</t>
  </si>
  <si>
    <t>соц.нал иная</t>
  </si>
  <si>
    <t>расходы по реал.прод.и оказ.усл</t>
  </si>
  <si>
    <t>Членские взносы КЭА и спон.пом.на изготовл.знаков</t>
  </si>
  <si>
    <t>обязательные членские взносы НПП РК атамекен за 2015-2016 г</t>
  </si>
  <si>
    <t>Доход от безвозмездно полученных активов</t>
  </si>
  <si>
    <t>обслуживание оборудования ведомост.подстан напр-ием 10/35/110Кв</t>
  </si>
  <si>
    <t>за установку РЛНД-10кВ и подключение шлейфа</t>
  </si>
  <si>
    <t>монтаж и испытание кабельной линии и воостнов</t>
  </si>
  <si>
    <t>Организация системы передачи данных АСКУЭ</t>
  </si>
  <si>
    <t>Взнос за участие в соревнование</t>
  </si>
  <si>
    <t>Канцелярские  и типографские товары иная</t>
  </si>
  <si>
    <t>благотворительн.помощь</t>
  </si>
  <si>
    <t>Наименование организации : АО "ТАТЭК"</t>
  </si>
  <si>
    <t>Адрес:  г.Талдыкорган ул Абылайхана 274</t>
  </si>
  <si>
    <t>Телефон : 23-33-46</t>
  </si>
  <si>
    <r>
      <t>Адрес электронной почты :</t>
    </r>
    <r>
      <rPr>
        <u/>
        <sz val="14"/>
        <color indexed="8"/>
        <rFont val="Times New Roman"/>
        <family val="1"/>
        <charset val="204"/>
      </rPr>
      <t xml:space="preserve"> tatek_peo@mail ru</t>
    </r>
  </si>
  <si>
    <t>Фамилия и телефон исполнителя: 23-33-46 вн 437</t>
  </si>
  <si>
    <t>Председатель Правления                                                              Демидов С.</t>
  </si>
  <si>
    <t>Зам.Председателя 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экономике и финансам                                                           Адамбекова Г.Е.</t>
  </si>
  <si>
    <t> </t>
  </si>
  <si>
    <t>М.П.</t>
  </si>
  <si>
    <t>Периодичность: I-полугодие</t>
  </si>
  <si>
    <t>Отчетный период  за  I-полугодие 2017 г.</t>
  </si>
</sst>
</file>

<file path=xl/styles.xml><?xml version="1.0" encoding="utf-8"?>
<styleSheet xmlns="http://schemas.openxmlformats.org/spreadsheetml/2006/main">
  <numFmts count="2">
    <numFmt numFmtId="164" formatCode="0.0"/>
    <numFmt numFmtId="168" formatCode="#,##0.0"/>
  </numFmts>
  <fonts count="19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Arial Cyr"/>
      <charset val="204"/>
    </font>
    <font>
      <u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0" xfId="0" applyBorder="1"/>
    <xf numFmtId="164" fontId="0" fillId="0" borderId="0" xfId="0" applyNumberForma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/>
    <xf numFmtId="164" fontId="0" fillId="0" borderId="0" xfId="0" applyNumberFormat="1" applyBorder="1"/>
    <xf numFmtId="168" fontId="0" fillId="0" borderId="0" xfId="0" applyNumberFormat="1"/>
    <xf numFmtId="168" fontId="0" fillId="0" borderId="0" xfId="0" applyNumberFormat="1" applyBorder="1"/>
    <xf numFmtId="164" fontId="2" fillId="0" borderId="1" xfId="0" applyNumberFormat="1" applyFont="1" applyFill="1" applyBorder="1" applyAlignment="1">
      <alignment horizontal="right"/>
    </xf>
    <xf numFmtId="0" fontId="1" fillId="0" borderId="1" xfId="0" applyFont="1" applyBorder="1"/>
    <xf numFmtId="168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68" fontId="2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Fill="1" applyBorder="1"/>
    <xf numFmtId="168" fontId="1" fillId="0" borderId="1" xfId="0" applyNumberFormat="1" applyFont="1" applyFill="1" applyBorder="1"/>
    <xf numFmtId="0" fontId="1" fillId="0" borderId="0" xfId="0" applyFont="1"/>
    <xf numFmtId="164" fontId="2" fillId="0" borderId="4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64" fontId="1" fillId="0" borderId="6" xfId="0" applyNumberFormat="1" applyFont="1" applyBorder="1"/>
    <xf numFmtId="164" fontId="1" fillId="0" borderId="1" xfId="0" applyNumberFormat="1" applyFont="1" applyBorder="1"/>
    <xf numFmtId="168" fontId="12" fillId="0" borderId="1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vertical="justify" wrapText="1"/>
    </xf>
    <xf numFmtId="0" fontId="0" fillId="8" borderId="0" xfId="0" applyFill="1"/>
    <xf numFmtId="164" fontId="1" fillId="0" borderId="1" xfId="0" applyNumberFormat="1" applyFont="1" applyFill="1" applyBorder="1" applyAlignment="1">
      <alignment horizontal="left"/>
    </xf>
    <xf numFmtId="164" fontId="1" fillId="0" borderId="6" xfId="0" applyNumberFormat="1" applyFont="1" applyBorder="1" applyAlignment="1">
      <alignment wrapText="1"/>
    </xf>
    <xf numFmtId="164" fontId="2" fillId="0" borderId="1" xfId="0" applyNumberFormat="1" applyFont="1" applyBorder="1"/>
    <xf numFmtId="0" fontId="1" fillId="0" borderId="6" xfId="0" applyFont="1" applyBorder="1"/>
    <xf numFmtId="0" fontId="0" fillId="5" borderId="0" xfId="0" applyFill="1"/>
    <xf numFmtId="164" fontId="0" fillId="9" borderId="0" xfId="0" applyNumberFormat="1" applyFill="1"/>
    <xf numFmtId="164" fontId="2" fillId="0" borderId="1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vertical="center"/>
    </xf>
    <xf numFmtId="168" fontId="1" fillId="0" borderId="1" xfId="0" applyNumberFormat="1" applyFont="1" applyFill="1" applyBorder="1" applyAlignment="1">
      <alignment horizontal="center" vertical="center"/>
    </xf>
    <xf numFmtId="164" fontId="0" fillId="11" borderId="0" xfId="0" applyNumberFormat="1" applyFill="1" applyAlignment="1">
      <alignment vertical="center"/>
    </xf>
    <xf numFmtId="0" fontId="0" fillId="12" borderId="0" xfId="0" applyFill="1" applyAlignment="1">
      <alignment vertical="center"/>
    </xf>
    <xf numFmtId="0" fontId="0" fillId="13" borderId="0" xfId="0" applyFill="1"/>
    <xf numFmtId="0" fontId="0" fillId="14" borderId="0" xfId="0" applyFill="1"/>
    <xf numFmtId="164" fontId="0" fillId="3" borderId="0" xfId="0" applyNumberFormat="1" applyFill="1"/>
    <xf numFmtId="164" fontId="0" fillId="6" borderId="0" xfId="0" applyNumberFormat="1" applyFill="1"/>
    <xf numFmtId="0" fontId="2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0" fontId="0" fillId="9" borderId="0" xfId="0" applyFill="1"/>
    <xf numFmtId="0" fontId="2" fillId="0" borderId="2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/>
    </xf>
    <xf numFmtId="0" fontId="0" fillId="10" borderId="0" xfId="0" applyFill="1"/>
    <xf numFmtId="0" fontId="0" fillId="7" borderId="0" xfId="0" applyFill="1"/>
    <xf numFmtId="0" fontId="0" fillId="15" borderId="0" xfId="0" applyFill="1"/>
    <xf numFmtId="164" fontId="0" fillId="16" borderId="0" xfId="0" applyNumberFormat="1" applyFill="1"/>
    <xf numFmtId="164" fontId="12" fillId="0" borderId="6" xfId="0" applyNumberFormat="1" applyFont="1" applyBorder="1" applyAlignment="1">
      <alignment vertical="center" wrapText="1"/>
    </xf>
    <xf numFmtId="168" fontId="0" fillId="17" borderId="0" xfId="0" applyNumberFormat="1" applyFill="1"/>
    <xf numFmtId="1" fontId="2" fillId="0" borderId="2" xfId="0" applyNumberFormat="1" applyFont="1" applyBorder="1" applyAlignment="1">
      <alignment horizontal="center"/>
    </xf>
    <xf numFmtId="0" fontId="0" fillId="17" borderId="0" xfId="0" applyFill="1"/>
    <xf numFmtId="0" fontId="0" fillId="12" borderId="0" xfId="0" applyFill="1"/>
    <xf numFmtId="0" fontId="0" fillId="2" borderId="0" xfId="0" applyFill="1"/>
    <xf numFmtId="0" fontId="0" fillId="16" borderId="0" xfId="0" applyFill="1"/>
    <xf numFmtId="0" fontId="0" fillId="4" borderId="0" xfId="0" applyFill="1"/>
    <xf numFmtId="0" fontId="0" fillId="18" borderId="0" xfId="0" applyFill="1"/>
    <xf numFmtId="0" fontId="0" fillId="3" borderId="0" xfId="0" applyFill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justify"/>
    </xf>
    <xf numFmtId="164" fontId="1" fillId="0" borderId="6" xfId="0" applyNumberFormat="1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justify"/>
    </xf>
    <xf numFmtId="164" fontId="2" fillId="0" borderId="9" xfId="0" applyNumberFormat="1" applyFont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/>
    <xf numFmtId="0" fontId="2" fillId="0" borderId="13" xfId="0" applyFont="1" applyBorder="1" applyAlignment="1">
      <alignment horizontal="left"/>
    </xf>
    <xf numFmtId="0" fontId="2" fillId="0" borderId="5" xfId="0" applyFont="1" applyBorder="1" applyAlignment="1">
      <alignment horizontal="justify"/>
    </xf>
    <xf numFmtId="0" fontId="1" fillId="0" borderId="5" xfId="0" applyFont="1" applyBorder="1"/>
    <xf numFmtId="164" fontId="2" fillId="0" borderId="5" xfId="0" applyNumberFormat="1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2" xfId="0" applyFont="1" applyBorder="1"/>
    <xf numFmtId="0" fontId="1" fillId="0" borderId="2" xfId="0" applyFont="1" applyBorder="1"/>
    <xf numFmtId="0" fontId="3" fillId="0" borderId="1" xfId="0" applyFont="1" applyFill="1" applyBorder="1" applyAlignment="1">
      <alignment horizontal="center"/>
    </xf>
    <xf numFmtId="0" fontId="4" fillId="7" borderId="1" xfId="0" applyFont="1" applyFill="1" applyBorder="1" applyAlignment="1"/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0" fillId="6" borderId="0" xfId="0" applyFill="1"/>
    <xf numFmtId="0" fontId="1" fillId="0" borderId="2" xfId="0" applyFont="1" applyBorder="1" applyAlignment="1">
      <alignment horizontal="left"/>
    </xf>
    <xf numFmtId="164" fontId="2" fillId="0" borderId="1" xfId="0" applyNumberFormat="1" applyFont="1" applyFill="1" applyBorder="1" applyAlignment="1"/>
    <xf numFmtId="164" fontId="4" fillId="16" borderId="1" xfId="0" applyNumberFormat="1" applyFont="1" applyFill="1" applyBorder="1" applyAlignment="1"/>
    <xf numFmtId="1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1" fillId="16" borderId="1" xfId="0" applyFont="1" applyFill="1" applyBorder="1" applyAlignment="1"/>
    <xf numFmtId="0" fontId="2" fillId="16" borderId="1" xfId="0" applyFont="1" applyFill="1" applyBorder="1" applyAlignment="1"/>
    <xf numFmtId="0" fontId="4" fillId="16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1" fillId="0" borderId="6" xfId="0" applyFont="1" applyBorder="1" applyAlignment="1">
      <alignment vertical="center" wrapText="1"/>
    </xf>
    <xf numFmtId="0" fontId="0" fillId="14" borderId="0" xfId="0" applyFill="1" applyBorder="1"/>
    <xf numFmtId="0" fontId="2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16" borderId="1" xfId="0" applyNumberFormat="1" applyFont="1" applyFill="1" applyBorder="1" applyAlignment="1">
      <alignment horizontal="right"/>
    </xf>
    <xf numFmtId="0" fontId="2" fillId="0" borderId="6" xfId="0" applyFont="1" applyBorder="1"/>
    <xf numFmtId="0" fontId="2" fillId="16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0" fontId="4" fillId="16" borderId="1" xfId="0" applyFont="1" applyFill="1" applyBorder="1" applyAlignment="1"/>
    <xf numFmtId="0" fontId="2" fillId="2" borderId="1" xfId="0" applyFont="1" applyFill="1" applyBorder="1" applyAlignment="1"/>
    <xf numFmtId="0" fontId="4" fillId="0" borderId="1" xfId="0" applyFont="1" applyFill="1" applyBorder="1" applyAlignment="1"/>
    <xf numFmtId="164" fontId="2" fillId="0" borderId="1" xfId="0" applyNumberFormat="1" applyFont="1" applyBorder="1" applyAlignment="1"/>
    <xf numFmtId="0" fontId="2" fillId="0" borderId="8" xfId="0" applyFont="1" applyBorder="1"/>
    <xf numFmtId="0" fontId="2" fillId="0" borderId="9" xfId="0" applyFont="1" applyBorder="1"/>
    <xf numFmtId="164" fontId="2" fillId="0" borderId="9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Border="1"/>
    <xf numFmtId="0" fontId="2" fillId="0" borderId="0" xfId="0" applyFont="1" applyBorder="1"/>
    <xf numFmtId="164" fontId="2" fillId="0" borderId="0" xfId="0" applyNumberFormat="1" applyFont="1" applyBorder="1"/>
    <xf numFmtId="0" fontId="13" fillId="0" borderId="0" xfId="0" applyFont="1"/>
    <xf numFmtId="0" fontId="13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17" fillId="0" borderId="0" xfId="0" applyFont="1" applyAlignment="1">
      <alignment horizontal="justify" vertical="top"/>
    </xf>
    <xf numFmtId="0" fontId="1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" fillId="0" borderId="0" xfId="0" applyFont="1" applyFill="1"/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/>
    </xf>
    <xf numFmtId="0" fontId="2" fillId="0" borderId="5" xfId="0" applyFont="1" applyFill="1" applyBorder="1"/>
    <xf numFmtId="164" fontId="4" fillId="0" borderId="1" xfId="0" applyNumberFormat="1" applyFont="1" applyFill="1" applyBorder="1" applyAlignment="1">
      <alignment horizontal="center"/>
    </xf>
    <xf numFmtId="164" fontId="2" fillId="0" borderId="9" xfId="0" applyNumberFormat="1" applyFont="1" applyFill="1" applyBorder="1"/>
    <xf numFmtId="164" fontId="2" fillId="0" borderId="0" xfId="0" applyNumberFormat="1" applyFont="1" applyFill="1" applyBorder="1"/>
    <xf numFmtId="0" fontId="16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0" fillId="0" borderId="0" xfId="0" applyFill="1"/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6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64" fontId="9" fillId="0" borderId="0" xfId="0" applyNumberFormat="1" applyFont="1" applyBorder="1" applyAlignment="1"/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40;&#1085;&#1072;&#1083;&#1080;&#1079;%20&#1079;&#1072;&#1090;&#1088;&#1072;&#1090;%20&#1080;%20&#1080;&#1089;&#1087;&#1086;&#1083;&#1085;&#1077;&#1085;&#1080;&#1077;%20&#1090;&#1072;&#1088;&#1080;&#1092;&#1085;&#1086;&#1081;%20&#1089;&#1084;&#1077;&#1090;&#1099;%20&#1079;&#1072;%202016&#1075;&#1086;&#1076;%20&#1103;&#1085;&#1074;&#1072;&#1088;&#1100;-&#1084;&#1072;&#1088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-тысбыт"/>
      <sheetName val="Лист1"/>
      <sheetName val="Лист4"/>
      <sheetName val="Лист3"/>
      <sheetName val="Лист8"/>
    </sheetNames>
    <sheetDataSet>
      <sheetData sheetId="0" refreshError="1"/>
      <sheetData sheetId="1" refreshError="1">
        <row r="1677">
          <cell r="AP1677">
            <v>0</v>
          </cell>
          <cell r="AQ1677">
            <v>0</v>
          </cell>
        </row>
        <row r="1701">
          <cell r="AP1701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workbookViewId="0">
      <selection activeCell="A143" sqref="A143:H143"/>
    </sheetView>
  </sheetViews>
  <sheetFormatPr defaultRowHeight="12.75"/>
  <cols>
    <col min="2" max="2" width="47" customWidth="1"/>
    <col min="3" max="3" width="11.42578125" customWidth="1"/>
    <col min="4" max="4" width="17.28515625" style="154" customWidth="1"/>
    <col min="5" max="5" width="14.42578125" customWidth="1"/>
    <col min="6" max="6" width="12" customWidth="1"/>
    <col min="7" max="7" width="15.7109375" customWidth="1"/>
    <col min="8" max="8" width="47.7109375" customWidth="1"/>
    <col min="9" max="9" width="14.5703125" hidden="1" customWidth="1"/>
    <col min="10" max="10" width="11.85546875" hidden="1" customWidth="1"/>
    <col min="11" max="13" width="0" hidden="1" customWidth="1"/>
    <col min="14" max="14" width="12.140625" hidden="1" customWidth="1"/>
    <col min="15" max="16" width="0" hidden="1" customWidth="1"/>
  </cols>
  <sheetData>
    <row r="1" spans="1:8" ht="126" customHeight="1">
      <c r="A1" s="19"/>
      <c r="B1" s="19"/>
      <c r="C1" s="19"/>
      <c r="D1" s="143"/>
      <c r="E1" s="19"/>
      <c r="F1" s="185" t="s">
        <v>123</v>
      </c>
      <c r="G1" s="185"/>
      <c r="H1" s="185"/>
    </row>
    <row r="2" spans="1:8" ht="22.5" customHeight="1">
      <c r="A2" s="159" t="s">
        <v>124</v>
      </c>
      <c r="B2" s="159"/>
      <c r="C2" s="159"/>
      <c r="D2" s="159"/>
      <c r="E2" s="159"/>
      <c r="F2" s="159"/>
      <c r="G2" s="159"/>
      <c r="H2" s="159"/>
    </row>
    <row r="3" spans="1:8" ht="21" customHeight="1">
      <c r="A3" s="159" t="s">
        <v>125</v>
      </c>
      <c r="B3" s="159"/>
      <c r="C3" s="159"/>
      <c r="D3" s="159"/>
      <c r="E3" s="159"/>
      <c r="F3" s="159"/>
      <c r="G3" s="159"/>
      <c r="H3" s="159"/>
    </row>
    <row r="4" spans="1:8" ht="21" customHeight="1">
      <c r="A4" s="140"/>
      <c r="B4" s="140"/>
      <c r="C4" s="140"/>
      <c r="D4" s="144"/>
      <c r="E4" s="140"/>
      <c r="F4" s="140"/>
      <c r="G4" s="140"/>
      <c r="H4" s="140"/>
    </row>
    <row r="5" spans="1:8" ht="22.5" customHeight="1">
      <c r="A5" s="186" t="s">
        <v>195</v>
      </c>
      <c r="B5" s="186"/>
      <c r="C5" s="186"/>
      <c r="D5" s="186"/>
      <c r="E5" s="186"/>
      <c r="F5" s="186"/>
      <c r="G5" s="186"/>
      <c r="H5" s="186"/>
    </row>
    <row r="6" spans="1:8" ht="22.5" customHeight="1">
      <c r="A6" s="141"/>
      <c r="B6" s="141"/>
      <c r="C6" s="141"/>
      <c r="D6" s="145"/>
      <c r="E6" s="141"/>
      <c r="F6" s="141"/>
      <c r="G6" s="141"/>
      <c r="H6" s="141"/>
    </row>
    <row r="7" spans="1:8" ht="20.25" customHeight="1">
      <c r="A7" s="159" t="s">
        <v>126</v>
      </c>
      <c r="B7" s="159"/>
      <c r="C7" s="159"/>
      <c r="D7" s="159"/>
      <c r="E7" s="159"/>
      <c r="F7" s="159"/>
      <c r="G7" s="159"/>
      <c r="H7" s="159"/>
    </row>
    <row r="8" spans="1:8" ht="20.25" customHeight="1">
      <c r="A8" s="159" t="s">
        <v>194</v>
      </c>
      <c r="B8" s="159"/>
      <c r="C8" s="159"/>
      <c r="D8" s="159"/>
      <c r="E8" s="159"/>
      <c r="F8" s="159"/>
      <c r="G8" s="159"/>
      <c r="H8" s="159"/>
    </row>
    <row r="9" spans="1:8" ht="20.25" customHeight="1">
      <c r="A9" s="182" t="s">
        <v>127</v>
      </c>
      <c r="B9" s="183"/>
      <c r="C9" s="183"/>
      <c r="D9" s="183"/>
      <c r="E9" s="183"/>
      <c r="F9" s="183"/>
      <c r="G9" s="183"/>
      <c r="H9" s="183"/>
    </row>
    <row r="10" spans="1:8" ht="37.5" customHeight="1">
      <c r="A10" s="187" t="s">
        <v>128</v>
      </c>
      <c r="B10" s="187"/>
      <c r="C10" s="187"/>
      <c r="D10" s="187"/>
      <c r="E10" s="187"/>
      <c r="F10" s="187"/>
      <c r="G10" s="187"/>
      <c r="H10" s="187"/>
    </row>
    <row r="11" spans="1:8" ht="21" customHeight="1">
      <c r="A11" s="183" t="s">
        <v>129</v>
      </c>
      <c r="B11" s="183"/>
      <c r="C11" s="183"/>
      <c r="D11" s="183"/>
      <c r="E11" s="183"/>
      <c r="F11" s="183"/>
      <c r="G11" s="183"/>
      <c r="H11" s="183"/>
    </row>
    <row r="12" spans="1:8" ht="16.5" thickBot="1">
      <c r="A12" s="184"/>
      <c r="B12" s="184"/>
      <c r="C12" s="184"/>
      <c r="D12" s="184"/>
      <c r="E12" s="184"/>
      <c r="F12" s="184"/>
      <c r="G12" s="184"/>
      <c r="H12" s="184"/>
    </row>
    <row r="13" spans="1:8" ht="32.25" customHeight="1">
      <c r="A13" s="177" t="s">
        <v>130</v>
      </c>
      <c r="B13" s="179" t="s">
        <v>0</v>
      </c>
      <c r="C13" s="170" t="s">
        <v>122</v>
      </c>
      <c r="D13" s="188" t="s">
        <v>131</v>
      </c>
      <c r="E13" s="170" t="s">
        <v>132</v>
      </c>
      <c r="F13" s="20"/>
      <c r="G13" s="170" t="s">
        <v>133</v>
      </c>
      <c r="H13" s="173" t="s">
        <v>134</v>
      </c>
    </row>
    <row r="14" spans="1:8" ht="12.75" customHeight="1">
      <c r="A14" s="176"/>
      <c r="B14" s="180"/>
      <c r="C14" s="171"/>
      <c r="D14" s="189"/>
      <c r="E14" s="171"/>
      <c r="F14" s="171" t="s">
        <v>135</v>
      </c>
      <c r="G14" s="171"/>
      <c r="H14" s="174"/>
    </row>
    <row r="15" spans="1:8" ht="12.75" customHeight="1">
      <c r="A15" s="176"/>
      <c r="B15" s="180"/>
      <c r="C15" s="171"/>
      <c r="D15" s="189"/>
      <c r="E15" s="171"/>
      <c r="F15" s="171"/>
      <c r="G15" s="171"/>
      <c r="H15" s="174"/>
    </row>
    <row r="16" spans="1:8" ht="8.25" customHeight="1" thickBot="1">
      <c r="A16" s="178"/>
      <c r="B16" s="181"/>
      <c r="C16" s="172"/>
      <c r="D16" s="190"/>
      <c r="E16" s="172"/>
      <c r="F16" s="172"/>
      <c r="G16" s="172"/>
      <c r="H16" s="175"/>
    </row>
    <row r="17" spans="1:14">
      <c r="A17" s="22">
        <v>1</v>
      </c>
      <c r="B17" s="23">
        <v>2</v>
      </c>
      <c r="C17" s="23">
        <v>3</v>
      </c>
      <c r="D17" s="146">
        <v>4</v>
      </c>
      <c r="E17" s="23">
        <v>5</v>
      </c>
      <c r="F17" s="23">
        <v>7</v>
      </c>
      <c r="G17" s="23">
        <v>6</v>
      </c>
      <c r="H17" s="24">
        <v>7</v>
      </c>
    </row>
    <row r="18" spans="1:14" ht="34.5" customHeight="1">
      <c r="A18" s="21" t="s">
        <v>58</v>
      </c>
      <c r="B18" s="25" t="s">
        <v>136</v>
      </c>
      <c r="C18" s="26" t="s">
        <v>25</v>
      </c>
      <c r="D18" s="27">
        <f>D19+D26+D30+D31+D32</f>
        <v>1532617.4000000001</v>
      </c>
      <c r="E18" s="27">
        <f>E19+E26+E30+E31+E32</f>
        <v>1522724.2</v>
      </c>
      <c r="F18" s="27">
        <f>F19+F26+F30+F31+F32</f>
        <v>-9893.2000000001281</v>
      </c>
      <c r="G18" s="28">
        <f t="shared" ref="G18:G31" si="0">E18/D18*100</f>
        <v>99.354489907265815</v>
      </c>
      <c r="H18" s="29"/>
    </row>
    <row r="19" spans="1:14">
      <c r="A19" s="30" t="s">
        <v>28</v>
      </c>
      <c r="B19" s="31" t="s">
        <v>1</v>
      </c>
      <c r="C19" s="32" t="s">
        <v>25</v>
      </c>
      <c r="D19" s="14">
        <f>SUM(D21:D24)</f>
        <v>532815.40000000014</v>
      </c>
      <c r="E19" s="14">
        <f>SUM(E21:E24)</f>
        <v>522920.7</v>
      </c>
      <c r="F19" s="33">
        <f>E19-D19</f>
        <v>-9894.7000000001281</v>
      </c>
      <c r="G19" s="34">
        <f t="shared" si="0"/>
        <v>98.14294031291135</v>
      </c>
      <c r="H19" s="35"/>
    </row>
    <row r="20" spans="1:14">
      <c r="A20" s="30"/>
      <c r="B20" s="31" t="s">
        <v>26</v>
      </c>
      <c r="C20" s="32"/>
      <c r="D20" s="12"/>
      <c r="E20" s="12"/>
      <c r="F20" s="34"/>
      <c r="G20" s="34"/>
      <c r="H20" s="35"/>
    </row>
    <row r="21" spans="1:14">
      <c r="A21" s="30" t="s">
        <v>54</v>
      </c>
      <c r="B21" s="36" t="s">
        <v>49</v>
      </c>
      <c r="C21" s="32" t="s">
        <v>25</v>
      </c>
      <c r="D21" s="12">
        <v>12693.4</v>
      </c>
      <c r="E21" s="12">
        <v>13250</v>
      </c>
      <c r="F21" s="37">
        <f>E21-D21</f>
        <v>556.60000000000036</v>
      </c>
      <c r="G21" s="34">
        <f t="shared" si="0"/>
        <v>104.38495596136575</v>
      </c>
      <c r="H21" s="38"/>
      <c r="I21" s="39">
        <v>-16900</v>
      </c>
    </row>
    <row r="22" spans="1:14">
      <c r="A22" s="30" t="s">
        <v>29</v>
      </c>
      <c r="B22" s="36" t="s">
        <v>137</v>
      </c>
      <c r="C22" s="32"/>
      <c r="D22" s="12">
        <v>491657.7</v>
      </c>
      <c r="E22" s="12">
        <v>481206.4</v>
      </c>
      <c r="F22" s="37">
        <f>E22-D22</f>
        <v>-10451.299999999988</v>
      </c>
      <c r="G22" s="34">
        <f>E22/D22*100</f>
        <v>97.874273096912759</v>
      </c>
      <c r="H22" s="38"/>
      <c r="I22" s="39"/>
    </row>
    <row r="23" spans="1:14">
      <c r="A23" s="30" t="s">
        <v>30</v>
      </c>
      <c r="B23" s="40" t="s">
        <v>38</v>
      </c>
      <c r="C23" s="32" t="s">
        <v>25</v>
      </c>
      <c r="D23" s="12">
        <v>23410</v>
      </c>
      <c r="E23" s="12">
        <v>23410</v>
      </c>
      <c r="F23" s="37">
        <f>E23-D23</f>
        <v>0</v>
      </c>
      <c r="G23" s="34">
        <f>E23/D23*100</f>
        <v>100</v>
      </c>
      <c r="H23" s="38"/>
      <c r="I23" s="39"/>
    </row>
    <row r="24" spans="1:14">
      <c r="A24" s="30" t="s">
        <v>138</v>
      </c>
      <c r="B24" s="36" t="s">
        <v>47</v>
      </c>
      <c r="C24" s="32" t="s">
        <v>25</v>
      </c>
      <c r="D24" s="12">
        <v>5054.3</v>
      </c>
      <c r="E24" s="12">
        <v>5054.3</v>
      </c>
      <c r="F24" s="37">
        <f>E24-D24</f>
        <v>0</v>
      </c>
      <c r="G24" s="34">
        <f t="shared" si="0"/>
        <v>100</v>
      </c>
      <c r="H24" s="41"/>
      <c r="I24">
        <v>385.7</v>
      </c>
      <c r="J24">
        <v>135</v>
      </c>
      <c r="K24">
        <v>500</v>
      </c>
    </row>
    <row r="25" spans="1:14" hidden="1">
      <c r="A25" s="30"/>
      <c r="B25" s="36"/>
      <c r="C25" s="32"/>
      <c r="D25" s="12"/>
      <c r="E25" s="34"/>
      <c r="F25" s="34">
        <f>E25-D25</f>
        <v>0</v>
      </c>
      <c r="G25" s="34" t="e">
        <f t="shared" si="0"/>
        <v>#DIV/0!</v>
      </c>
      <c r="H25" s="35"/>
    </row>
    <row r="26" spans="1:14">
      <c r="A26" s="30" t="s">
        <v>31</v>
      </c>
      <c r="B26" s="42" t="s">
        <v>2</v>
      </c>
      <c r="C26" s="32" t="s">
        <v>25</v>
      </c>
      <c r="D26" s="14">
        <f>D27+D28</f>
        <v>578260.9</v>
      </c>
      <c r="E26" s="14">
        <f>E27+E28</f>
        <v>578260.9</v>
      </c>
      <c r="F26" s="33">
        <f>F27+F28+F29</f>
        <v>0</v>
      </c>
      <c r="G26" s="34">
        <f t="shared" si="0"/>
        <v>100</v>
      </c>
      <c r="H26" s="43"/>
      <c r="I26" s="2"/>
      <c r="J26" s="2"/>
    </row>
    <row r="27" spans="1:14">
      <c r="A27" s="30" t="s">
        <v>32</v>
      </c>
      <c r="B27" s="36" t="s">
        <v>3</v>
      </c>
      <c r="C27" s="32" t="s">
        <v>25</v>
      </c>
      <c r="D27" s="12">
        <v>525691.9</v>
      </c>
      <c r="E27" s="12">
        <v>525691.9</v>
      </c>
      <c r="F27" s="34">
        <f t="shared" ref="F27:F76" si="1">E27-D27</f>
        <v>0</v>
      </c>
      <c r="G27" s="34">
        <f t="shared" si="0"/>
        <v>100</v>
      </c>
      <c r="H27" s="35"/>
      <c r="I27" s="2">
        <v>-21413</v>
      </c>
      <c r="K27" s="44">
        <f>21413+22375-10514.8</f>
        <v>33273.199999999997</v>
      </c>
    </row>
    <row r="28" spans="1:14">
      <c r="A28" s="30" t="s">
        <v>33</v>
      </c>
      <c r="B28" s="36" t="s">
        <v>4</v>
      </c>
      <c r="C28" s="32" t="s">
        <v>25</v>
      </c>
      <c r="D28" s="12">
        <v>52569</v>
      </c>
      <c r="E28" s="12">
        <v>52569</v>
      </c>
      <c r="F28" s="34">
        <f t="shared" si="1"/>
        <v>0</v>
      </c>
      <c r="G28" s="34">
        <f t="shared" si="0"/>
        <v>100</v>
      </c>
      <c r="H28" s="35"/>
      <c r="I28" s="45">
        <v>3836.8</v>
      </c>
      <c r="K28" s="44">
        <f>5741-1156</f>
        <v>4585</v>
      </c>
      <c r="L28" s="44">
        <v>3389</v>
      </c>
      <c r="M28">
        <f>K28-L28</f>
        <v>1196</v>
      </c>
      <c r="N28" t="s">
        <v>139</v>
      </c>
    </row>
    <row r="29" spans="1:14" hidden="1">
      <c r="A29" s="30" t="s">
        <v>34</v>
      </c>
      <c r="B29" s="36" t="s">
        <v>14</v>
      </c>
      <c r="C29" s="32" t="s">
        <v>25</v>
      </c>
      <c r="D29" s="12">
        <f>[1]Лист1!AP1677</f>
        <v>0</v>
      </c>
      <c r="E29" s="12">
        <f>[1]Лист1!AQ1677</f>
        <v>0</v>
      </c>
      <c r="F29" s="34">
        <f t="shared" si="1"/>
        <v>0</v>
      </c>
      <c r="G29" s="34" t="e">
        <f t="shared" si="0"/>
        <v>#DIV/0!</v>
      </c>
      <c r="H29" s="35"/>
    </row>
    <row r="30" spans="1:14">
      <c r="A30" s="30" t="s">
        <v>35</v>
      </c>
      <c r="B30" s="42" t="s">
        <v>36</v>
      </c>
      <c r="C30" s="32" t="s">
        <v>25</v>
      </c>
      <c r="D30" s="14">
        <v>253785</v>
      </c>
      <c r="E30" s="14">
        <v>253785</v>
      </c>
      <c r="F30" s="33">
        <f t="shared" si="1"/>
        <v>0</v>
      </c>
      <c r="G30" s="34">
        <f t="shared" si="0"/>
        <v>100</v>
      </c>
      <c r="H30" s="38"/>
    </row>
    <row r="31" spans="1:14" s="49" customFormat="1" ht="27.75" customHeight="1">
      <c r="A31" s="21" t="s">
        <v>37</v>
      </c>
      <c r="B31" s="46" t="s">
        <v>5</v>
      </c>
      <c r="C31" s="26" t="s">
        <v>25</v>
      </c>
      <c r="D31" s="27">
        <v>142105.9</v>
      </c>
      <c r="E31" s="27">
        <v>142107.4</v>
      </c>
      <c r="F31" s="47">
        <f t="shared" si="1"/>
        <v>1.5</v>
      </c>
      <c r="G31" s="28">
        <f t="shared" si="0"/>
        <v>100.00105555082513</v>
      </c>
      <c r="H31" s="48"/>
      <c r="I31" s="49" t="s">
        <v>140</v>
      </c>
      <c r="J31" s="49" t="s">
        <v>141</v>
      </c>
      <c r="K31" s="49" t="s">
        <v>142</v>
      </c>
    </row>
    <row r="32" spans="1:14" ht="18.75" customHeight="1">
      <c r="A32" s="30" t="s">
        <v>39</v>
      </c>
      <c r="B32" s="42" t="s">
        <v>79</v>
      </c>
      <c r="C32" s="32" t="s">
        <v>25</v>
      </c>
      <c r="D32" s="14">
        <f>SUM(D33:D39)+5218.6</f>
        <v>25650.199999999997</v>
      </c>
      <c r="E32" s="14">
        <f>SUM(E33:E39)+5218.6</f>
        <v>25650.199999999997</v>
      </c>
      <c r="F32" s="33">
        <f>E32-D32</f>
        <v>0</v>
      </c>
      <c r="G32" s="34">
        <f>E32/D32*100</f>
        <v>100</v>
      </c>
      <c r="H32" s="35"/>
      <c r="I32" s="2"/>
    </row>
    <row r="33" spans="1:13" s="49" customFormat="1">
      <c r="A33" s="21" t="s">
        <v>40</v>
      </c>
      <c r="B33" s="50" t="s">
        <v>12</v>
      </c>
      <c r="C33" s="26" t="s">
        <v>25</v>
      </c>
      <c r="D33" s="51">
        <v>486.5</v>
      </c>
      <c r="E33" s="51">
        <v>486.5</v>
      </c>
      <c r="F33" s="28">
        <f>E33-D33</f>
        <v>0</v>
      </c>
      <c r="G33" s="28">
        <f t="shared" ref="G33:G75" si="2">E33/D33*100</f>
        <v>100</v>
      </c>
      <c r="H33" s="48"/>
      <c r="I33" s="52">
        <v>-3063.6</v>
      </c>
      <c r="J33" s="49">
        <v>45</v>
      </c>
    </row>
    <row r="34" spans="1:13" s="49" customFormat="1">
      <c r="A34" s="21" t="s">
        <v>41</v>
      </c>
      <c r="B34" s="50" t="s">
        <v>9</v>
      </c>
      <c r="C34" s="26" t="s">
        <v>25</v>
      </c>
      <c r="D34" s="51">
        <v>12998.7</v>
      </c>
      <c r="E34" s="51">
        <v>12998.7</v>
      </c>
      <c r="F34" s="28">
        <f t="shared" si="1"/>
        <v>0</v>
      </c>
      <c r="G34" s="28">
        <f t="shared" si="2"/>
        <v>100</v>
      </c>
      <c r="H34" s="48"/>
      <c r="I34" s="53" t="s">
        <v>143</v>
      </c>
      <c r="J34" s="49">
        <v>-200</v>
      </c>
      <c r="K34" s="49">
        <v>-3435</v>
      </c>
    </row>
    <row r="35" spans="1:13">
      <c r="A35" s="30" t="s">
        <v>42</v>
      </c>
      <c r="B35" s="36" t="s">
        <v>6</v>
      </c>
      <c r="C35" s="32" t="s">
        <v>25</v>
      </c>
      <c r="D35" s="12">
        <v>1479.9</v>
      </c>
      <c r="E35" s="12">
        <v>1479.9</v>
      </c>
      <c r="F35" s="37">
        <f t="shared" si="1"/>
        <v>0</v>
      </c>
      <c r="G35" s="34">
        <f t="shared" si="2"/>
        <v>100</v>
      </c>
      <c r="H35" s="35"/>
      <c r="I35">
        <v>200</v>
      </c>
    </row>
    <row r="36" spans="1:13">
      <c r="A36" s="30" t="s">
        <v>55</v>
      </c>
      <c r="B36" s="36" t="s">
        <v>7</v>
      </c>
      <c r="C36" s="32" t="s">
        <v>25</v>
      </c>
      <c r="D36" s="12">
        <v>138</v>
      </c>
      <c r="E36" s="12">
        <v>138</v>
      </c>
      <c r="F36" s="34">
        <f t="shared" si="1"/>
        <v>0</v>
      </c>
      <c r="G36" s="34">
        <f t="shared" si="2"/>
        <v>100</v>
      </c>
      <c r="H36" s="35"/>
      <c r="I36" s="54">
        <v>-496</v>
      </c>
    </row>
    <row r="37" spans="1:13">
      <c r="A37" s="30" t="s">
        <v>8</v>
      </c>
      <c r="B37" s="36" t="s">
        <v>52</v>
      </c>
      <c r="C37" s="32" t="s">
        <v>25</v>
      </c>
      <c r="D37" s="12">
        <v>1500</v>
      </c>
      <c r="E37" s="12">
        <v>1500</v>
      </c>
      <c r="F37" s="37">
        <f t="shared" si="1"/>
        <v>0</v>
      </c>
      <c r="G37" s="34">
        <f t="shared" si="2"/>
        <v>100</v>
      </c>
      <c r="H37" s="35"/>
      <c r="I37" s="55">
        <v>-2616.6</v>
      </c>
      <c r="J37">
        <v>45</v>
      </c>
    </row>
    <row r="38" spans="1:13">
      <c r="A38" s="30" t="s">
        <v>80</v>
      </c>
      <c r="B38" s="36" t="s">
        <v>66</v>
      </c>
      <c r="C38" s="32" t="s">
        <v>25</v>
      </c>
      <c r="D38" s="12">
        <v>882</v>
      </c>
      <c r="E38" s="12">
        <v>882</v>
      </c>
      <c r="F38" s="34">
        <f t="shared" si="1"/>
        <v>0</v>
      </c>
      <c r="G38" s="34">
        <f t="shared" si="2"/>
        <v>100</v>
      </c>
      <c r="H38" s="35"/>
      <c r="I38" s="56">
        <v>-200</v>
      </c>
    </row>
    <row r="39" spans="1:13">
      <c r="A39" s="30" t="s">
        <v>81</v>
      </c>
      <c r="B39" s="36" t="s">
        <v>82</v>
      </c>
      <c r="C39" s="32" t="s">
        <v>25</v>
      </c>
      <c r="D39" s="12">
        <v>2946.5</v>
      </c>
      <c r="E39" s="12">
        <v>2946.5</v>
      </c>
      <c r="F39" s="34">
        <f t="shared" si="1"/>
        <v>0</v>
      </c>
      <c r="G39" s="34">
        <f t="shared" si="2"/>
        <v>100</v>
      </c>
      <c r="H39" s="35"/>
      <c r="I39" s="57">
        <v>-5360</v>
      </c>
    </row>
    <row r="40" spans="1:13">
      <c r="A40" s="30" t="s">
        <v>13</v>
      </c>
      <c r="B40" s="32" t="s">
        <v>83</v>
      </c>
      <c r="C40" s="32" t="s">
        <v>25</v>
      </c>
      <c r="D40" s="14">
        <f>D41</f>
        <v>158459.59999999998</v>
      </c>
      <c r="E40" s="14">
        <f>E41</f>
        <v>159445.79999999999</v>
      </c>
      <c r="F40" s="34">
        <f t="shared" si="1"/>
        <v>986.20000000001164</v>
      </c>
      <c r="G40" s="34">
        <f t="shared" si="2"/>
        <v>100.62236683672054</v>
      </c>
      <c r="H40" s="35"/>
      <c r="I40" s="2"/>
    </row>
    <row r="41" spans="1:13">
      <c r="A41" s="30" t="s">
        <v>43</v>
      </c>
      <c r="B41" s="32" t="s">
        <v>84</v>
      </c>
      <c r="C41" s="32" t="s">
        <v>25</v>
      </c>
      <c r="D41" s="14">
        <f>SUM(D42:D46)+D52</f>
        <v>158459.59999999998</v>
      </c>
      <c r="E41" s="14">
        <f>SUM(E42:E46)+E52</f>
        <v>159445.79999999999</v>
      </c>
      <c r="F41" s="34">
        <f t="shared" si="1"/>
        <v>986.20000000001164</v>
      </c>
      <c r="G41" s="34">
        <f t="shared" si="2"/>
        <v>100.62236683672054</v>
      </c>
      <c r="H41" s="35"/>
    </row>
    <row r="42" spans="1:13">
      <c r="A42" s="58" t="s">
        <v>44</v>
      </c>
      <c r="B42" s="59" t="s">
        <v>85</v>
      </c>
      <c r="C42" s="32" t="s">
        <v>25</v>
      </c>
      <c r="D42" s="12">
        <v>110625.7</v>
      </c>
      <c r="E42" s="12">
        <v>110625.7</v>
      </c>
      <c r="F42" s="34">
        <f>E42-D42</f>
        <v>0</v>
      </c>
      <c r="G42" s="34">
        <f t="shared" si="2"/>
        <v>100</v>
      </c>
      <c r="H42" s="60"/>
      <c r="I42">
        <v>-22375</v>
      </c>
    </row>
    <row r="43" spans="1:13">
      <c r="A43" s="58" t="s">
        <v>144</v>
      </c>
      <c r="B43" s="59" t="s">
        <v>4</v>
      </c>
      <c r="C43" s="32" t="s">
        <v>25</v>
      </c>
      <c r="D43" s="12">
        <v>11055.6</v>
      </c>
      <c r="E43" s="12">
        <v>11055.6</v>
      </c>
      <c r="F43" s="34">
        <f t="shared" si="1"/>
        <v>0</v>
      </c>
      <c r="G43" s="34">
        <f t="shared" si="2"/>
        <v>100</v>
      </c>
      <c r="H43" s="60"/>
      <c r="I43" s="61">
        <v>-3836.8</v>
      </c>
      <c r="J43">
        <v>-5741</v>
      </c>
      <c r="K43">
        <v>3389</v>
      </c>
      <c r="L43">
        <v>1156</v>
      </c>
      <c r="M43">
        <v>1196</v>
      </c>
    </row>
    <row r="44" spans="1:13" hidden="1">
      <c r="A44" s="58" t="s">
        <v>45</v>
      </c>
      <c r="B44" s="59" t="s">
        <v>56</v>
      </c>
      <c r="C44" s="32" t="s">
        <v>25</v>
      </c>
      <c r="D44" s="12">
        <f>[1]Лист1!AP1701</f>
        <v>0</v>
      </c>
      <c r="E44" s="12"/>
      <c r="F44" s="34">
        <f t="shared" si="1"/>
        <v>0</v>
      </c>
      <c r="G44" s="34"/>
      <c r="H44" s="35"/>
      <c r="I44" s="8" t="e">
        <f>E33+E35+E36+E37+E38+E39+#REF!+E48+E50+E51+E53+E54+E56+E57+E59+E60+E61+E62+E65+E66+E64</f>
        <v>#REF!</v>
      </c>
    </row>
    <row r="45" spans="1:13">
      <c r="A45" s="62" t="s">
        <v>45</v>
      </c>
      <c r="B45" s="63" t="s">
        <v>67</v>
      </c>
      <c r="C45" s="26" t="s">
        <v>25</v>
      </c>
      <c r="D45" s="27">
        <v>12939.6</v>
      </c>
      <c r="E45" s="27">
        <v>13542.6</v>
      </c>
      <c r="F45" s="28">
        <f t="shared" si="1"/>
        <v>603</v>
      </c>
      <c r="G45" s="28">
        <f t="shared" si="2"/>
        <v>104.66011314105536</v>
      </c>
      <c r="H45" s="48"/>
      <c r="I45" s="2"/>
    </row>
    <row r="46" spans="1:13" hidden="1">
      <c r="A46" s="58">
        <v>7</v>
      </c>
      <c r="B46" s="59" t="s">
        <v>145</v>
      </c>
      <c r="C46" s="32" t="s">
        <v>25</v>
      </c>
      <c r="D46" s="14">
        <f>D47+D48+D49+D50+D51</f>
        <v>12490.3</v>
      </c>
      <c r="E46" s="14">
        <f>E47+E48+E49+E50+E51</f>
        <v>12808.5</v>
      </c>
      <c r="F46" s="34">
        <f>E46-D46</f>
        <v>318.20000000000073</v>
      </c>
      <c r="G46" s="34">
        <f>E46/D46*100</f>
        <v>102.54757691968967</v>
      </c>
      <c r="H46" s="48"/>
      <c r="I46" s="2"/>
    </row>
    <row r="47" spans="1:13">
      <c r="A47" s="58" t="s">
        <v>146</v>
      </c>
      <c r="B47" s="59" t="s">
        <v>10</v>
      </c>
      <c r="C47" s="32" t="s">
        <v>25</v>
      </c>
      <c r="D47" s="12">
        <v>5068.5</v>
      </c>
      <c r="E47" s="12">
        <v>5068.5</v>
      </c>
      <c r="F47" s="34">
        <f t="shared" si="1"/>
        <v>0</v>
      </c>
      <c r="G47" s="34">
        <f t="shared" si="2"/>
        <v>100</v>
      </c>
      <c r="H47" s="35"/>
      <c r="I47" s="2">
        <v>-3758</v>
      </c>
      <c r="J47" s="64">
        <v>-1666</v>
      </c>
      <c r="K47">
        <v>2092.4</v>
      </c>
      <c r="L47" s="65">
        <v>-914.5</v>
      </c>
      <c r="M47" s="66">
        <v>1177.9000000000001</v>
      </c>
    </row>
    <row r="48" spans="1:13" hidden="1">
      <c r="A48" s="58"/>
      <c r="B48" s="59" t="s">
        <v>65</v>
      </c>
      <c r="C48" s="32" t="s">
        <v>25</v>
      </c>
      <c r="D48" s="12"/>
      <c r="E48" s="12"/>
      <c r="F48" s="34">
        <f t="shared" si="1"/>
        <v>0</v>
      </c>
      <c r="G48" s="34" t="e">
        <f t="shared" si="2"/>
        <v>#DIV/0!</v>
      </c>
      <c r="H48" s="35"/>
      <c r="I48" s="67">
        <v>295</v>
      </c>
    </row>
    <row r="49" spans="1:11">
      <c r="A49" s="58" t="s">
        <v>147</v>
      </c>
      <c r="B49" s="59" t="s">
        <v>48</v>
      </c>
      <c r="C49" s="32" t="s">
        <v>25</v>
      </c>
      <c r="D49" s="12">
        <v>5003.3999999999996</v>
      </c>
      <c r="E49" s="12">
        <v>5240</v>
      </c>
      <c r="F49" s="34">
        <f t="shared" si="1"/>
        <v>236.60000000000036</v>
      </c>
      <c r="G49" s="34">
        <f t="shared" si="2"/>
        <v>104.72878442658993</v>
      </c>
      <c r="H49" s="68"/>
    </row>
    <row r="50" spans="1:11">
      <c r="A50" s="58" t="s">
        <v>148</v>
      </c>
      <c r="B50" s="59" t="s">
        <v>101</v>
      </c>
      <c r="C50" s="32" t="s">
        <v>25</v>
      </c>
      <c r="D50" s="12">
        <v>538.79999999999995</v>
      </c>
      <c r="E50" s="12">
        <v>550</v>
      </c>
      <c r="F50" s="37">
        <f t="shared" si="1"/>
        <v>11.200000000000045</v>
      </c>
      <c r="G50" s="34">
        <f t="shared" si="2"/>
        <v>102.07869339272457</v>
      </c>
      <c r="H50" s="35"/>
    </row>
    <row r="51" spans="1:11">
      <c r="A51" s="58" t="s">
        <v>149</v>
      </c>
      <c r="B51" s="59" t="s">
        <v>53</v>
      </c>
      <c r="C51" s="32" t="s">
        <v>25</v>
      </c>
      <c r="D51" s="12">
        <v>1879.6</v>
      </c>
      <c r="E51" s="12">
        <v>1950</v>
      </c>
      <c r="F51" s="34">
        <f t="shared" si="1"/>
        <v>70.400000000000091</v>
      </c>
      <c r="G51" s="34">
        <f t="shared" si="2"/>
        <v>103.7454777612258</v>
      </c>
      <c r="H51" s="35"/>
      <c r="K51" s="69" t="e">
        <f>#REF!+#REF!+E47+E89+E80</f>
        <v>#REF!</v>
      </c>
    </row>
    <row r="52" spans="1:11">
      <c r="A52" s="70">
        <v>8</v>
      </c>
      <c r="B52" s="31" t="s">
        <v>86</v>
      </c>
      <c r="C52" s="32" t="s">
        <v>25</v>
      </c>
      <c r="D52" s="14">
        <f>SUM(D53:D66)</f>
        <v>11348.4</v>
      </c>
      <c r="E52" s="33">
        <f>SUM(E53:E66)</f>
        <v>11413.4</v>
      </c>
      <c r="F52" s="33">
        <f t="shared" si="1"/>
        <v>65</v>
      </c>
      <c r="G52" s="33">
        <f t="shared" si="2"/>
        <v>100.57276796729053</v>
      </c>
      <c r="H52" s="35"/>
      <c r="K52" s="71">
        <v>40134</v>
      </c>
    </row>
    <row r="53" spans="1:11">
      <c r="A53" s="30" t="s">
        <v>150</v>
      </c>
      <c r="B53" s="59" t="s">
        <v>50</v>
      </c>
      <c r="C53" s="32" t="s">
        <v>25</v>
      </c>
      <c r="D53" s="12">
        <v>2732</v>
      </c>
      <c r="E53" s="12">
        <v>2732</v>
      </c>
      <c r="F53" s="34">
        <f t="shared" si="1"/>
        <v>0</v>
      </c>
      <c r="G53" s="34">
        <f t="shared" si="2"/>
        <v>100</v>
      </c>
      <c r="H53" s="35"/>
      <c r="I53" s="72">
        <v>1748</v>
      </c>
      <c r="K53" s="69" t="e">
        <f>K52-K51</f>
        <v>#REF!</v>
      </c>
    </row>
    <row r="54" spans="1:11">
      <c r="A54" s="30" t="s">
        <v>151</v>
      </c>
      <c r="B54" s="59" t="s">
        <v>51</v>
      </c>
      <c r="C54" s="32" t="s">
        <v>25</v>
      </c>
      <c r="D54" s="12">
        <v>2220</v>
      </c>
      <c r="E54" s="12">
        <v>2220</v>
      </c>
      <c r="F54" s="34">
        <f t="shared" si="1"/>
        <v>0</v>
      </c>
      <c r="G54" s="34">
        <f t="shared" si="2"/>
        <v>100</v>
      </c>
      <c r="H54" s="35"/>
      <c r="I54" s="73">
        <v>-532.79999999999995</v>
      </c>
    </row>
    <row r="55" spans="1:11">
      <c r="A55" s="30" t="s">
        <v>152</v>
      </c>
      <c r="B55" s="59" t="s">
        <v>87</v>
      </c>
      <c r="C55" s="32" t="s">
        <v>25</v>
      </c>
      <c r="D55" s="12">
        <v>1435</v>
      </c>
      <c r="E55" s="12">
        <v>1500</v>
      </c>
      <c r="F55" s="34">
        <f t="shared" si="1"/>
        <v>65</v>
      </c>
      <c r="G55" s="34">
        <f t="shared" si="2"/>
        <v>104.52961672473869</v>
      </c>
      <c r="H55" s="48"/>
      <c r="I55">
        <v>-640</v>
      </c>
      <c r="J55" s="74">
        <v>-295</v>
      </c>
      <c r="K55" s="75">
        <v>345</v>
      </c>
    </row>
    <row r="56" spans="1:11">
      <c r="A56" s="30" t="s">
        <v>153</v>
      </c>
      <c r="B56" s="59" t="s">
        <v>46</v>
      </c>
      <c r="C56" s="32" t="s">
        <v>25</v>
      </c>
      <c r="D56" s="12">
        <v>500</v>
      </c>
      <c r="E56" s="12">
        <v>500</v>
      </c>
      <c r="F56" s="34">
        <f t="shared" si="1"/>
        <v>0</v>
      </c>
      <c r="G56" s="34">
        <f t="shared" si="2"/>
        <v>100</v>
      </c>
      <c r="H56" s="35"/>
      <c r="I56" s="73">
        <v>532.79999999999995</v>
      </c>
    </row>
    <row r="57" spans="1:11">
      <c r="A57" s="30" t="s">
        <v>154</v>
      </c>
      <c r="B57" s="59" t="s">
        <v>88</v>
      </c>
      <c r="C57" s="32" t="s">
        <v>25</v>
      </c>
      <c r="D57" s="12">
        <v>580.1</v>
      </c>
      <c r="E57" s="12">
        <v>580.1</v>
      </c>
      <c r="F57" s="34">
        <f t="shared" si="1"/>
        <v>0</v>
      </c>
      <c r="G57" s="34">
        <f t="shared" si="2"/>
        <v>100</v>
      </c>
      <c r="H57" s="35"/>
      <c r="I57">
        <v>-135</v>
      </c>
    </row>
    <row r="58" spans="1:11" hidden="1">
      <c r="A58" s="30" t="s">
        <v>155</v>
      </c>
      <c r="B58" s="59" t="s">
        <v>82</v>
      </c>
      <c r="C58" s="32" t="s">
        <v>25</v>
      </c>
      <c r="D58" s="12"/>
      <c r="E58" s="12"/>
      <c r="F58" s="34">
        <f t="shared" si="1"/>
        <v>0</v>
      </c>
      <c r="G58" s="34" t="e">
        <f t="shared" si="2"/>
        <v>#DIV/0!</v>
      </c>
      <c r="H58" s="35"/>
    </row>
    <row r="59" spans="1:11">
      <c r="A59" s="30" t="s">
        <v>156</v>
      </c>
      <c r="B59" s="59" t="s">
        <v>89</v>
      </c>
      <c r="C59" s="32" t="s">
        <v>25</v>
      </c>
      <c r="D59" s="12">
        <v>359.2</v>
      </c>
      <c r="E59" s="12">
        <v>359.2</v>
      </c>
      <c r="F59" s="34">
        <f t="shared" si="1"/>
        <v>0</v>
      </c>
      <c r="G59" s="34">
        <f t="shared" si="2"/>
        <v>100</v>
      </c>
      <c r="H59" s="35"/>
      <c r="I59" s="75">
        <v>113.6</v>
      </c>
    </row>
    <row r="60" spans="1:11">
      <c r="A60" s="30" t="s">
        <v>157</v>
      </c>
      <c r="B60" s="59" t="s">
        <v>90</v>
      </c>
      <c r="C60" s="32" t="s">
        <v>25</v>
      </c>
      <c r="D60" s="12">
        <v>468.6</v>
      </c>
      <c r="E60" s="12">
        <v>468.6</v>
      </c>
      <c r="F60" s="34">
        <f t="shared" si="1"/>
        <v>0</v>
      </c>
      <c r="G60" s="34">
        <f t="shared" si="2"/>
        <v>100</v>
      </c>
      <c r="H60" s="35"/>
      <c r="I60" s="75">
        <v>231</v>
      </c>
    </row>
    <row r="61" spans="1:11">
      <c r="A61" s="30" t="s">
        <v>158</v>
      </c>
      <c r="B61" s="59" t="s">
        <v>96</v>
      </c>
      <c r="C61" s="32" t="s">
        <v>25</v>
      </c>
      <c r="D61" s="12">
        <v>41.2</v>
      </c>
      <c r="E61" s="12">
        <v>41.2</v>
      </c>
      <c r="F61" s="34">
        <f t="shared" si="1"/>
        <v>0</v>
      </c>
      <c r="G61" s="34">
        <f t="shared" si="2"/>
        <v>100</v>
      </c>
      <c r="H61" s="35"/>
      <c r="I61" s="54">
        <v>6.8</v>
      </c>
    </row>
    <row r="62" spans="1:11">
      <c r="A62" s="30" t="s">
        <v>159</v>
      </c>
      <c r="B62" s="59" t="s">
        <v>11</v>
      </c>
      <c r="C62" s="32" t="s">
        <v>25</v>
      </c>
      <c r="D62" s="12">
        <v>1504</v>
      </c>
      <c r="E62" s="12">
        <v>1504</v>
      </c>
      <c r="F62" s="34">
        <f t="shared" si="1"/>
        <v>0</v>
      </c>
      <c r="G62" s="34">
        <f t="shared" si="2"/>
        <v>100</v>
      </c>
      <c r="H62" s="41"/>
      <c r="I62" s="54">
        <v>391</v>
      </c>
    </row>
    <row r="63" spans="1:11">
      <c r="A63" s="30" t="s">
        <v>160</v>
      </c>
      <c r="B63" s="59" t="s">
        <v>15</v>
      </c>
      <c r="C63" s="32" t="s">
        <v>25</v>
      </c>
      <c r="D63" s="12">
        <v>360</v>
      </c>
      <c r="E63" s="12">
        <v>360</v>
      </c>
      <c r="F63" s="34">
        <f t="shared" si="1"/>
        <v>0</v>
      </c>
      <c r="G63" s="34">
        <f t="shared" si="2"/>
        <v>100</v>
      </c>
      <c r="H63" s="35"/>
    </row>
    <row r="64" spans="1:11" ht="74.25" hidden="1" customHeight="1">
      <c r="A64" s="30" t="s">
        <v>161</v>
      </c>
      <c r="B64" s="59" t="s">
        <v>91</v>
      </c>
      <c r="C64" s="32" t="s">
        <v>25</v>
      </c>
      <c r="D64" s="12"/>
      <c r="E64" s="12"/>
      <c r="F64" s="34">
        <f t="shared" si="1"/>
        <v>0</v>
      </c>
      <c r="G64" s="34" t="e">
        <f t="shared" si="2"/>
        <v>#DIV/0!</v>
      </c>
      <c r="H64" s="35"/>
      <c r="I64" s="76">
        <v>-3750</v>
      </c>
    </row>
    <row r="65" spans="1:9" collapsed="1">
      <c r="A65" s="30" t="s">
        <v>162</v>
      </c>
      <c r="B65" s="59" t="s">
        <v>92</v>
      </c>
      <c r="C65" s="32" t="s">
        <v>25</v>
      </c>
      <c r="D65" s="12">
        <v>49.8</v>
      </c>
      <c r="E65" s="12">
        <v>49.8</v>
      </c>
      <c r="F65" s="34">
        <f t="shared" si="1"/>
        <v>0</v>
      </c>
      <c r="G65" s="34">
        <f t="shared" si="2"/>
        <v>100</v>
      </c>
      <c r="H65" s="35"/>
      <c r="I65" s="77"/>
    </row>
    <row r="66" spans="1:9" ht="18.75" customHeight="1">
      <c r="A66" s="30" t="s">
        <v>163</v>
      </c>
      <c r="B66" s="59" t="s">
        <v>93</v>
      </c>
      <c r="C66" s="32" t="s">
        <v>25</v>
      </c>
      <c r="D66" s="12">
        <v>1098.5</v>
      </c>
      <c r="E66" s="12">
        <v>1098.5</v>
      </c>
      <c r="F66" s="34">
        <f t="shared" si="1"/>
        <v>0</v>
      </c>
      <c r="G66" s="34">
        <f t="shared" si="2"/>
        <v>100</v>
      </c>
      <c r="H66" s="35"/>
      <c r="I66" s="77">
        <v>200</v>
      </c>
    </row>
    <row r="67" spans="1:9" ht="20.25" customHeight="1">
      <c r="A67" s="30" t="s">
        <v>16</v>
      </c>
      <c r="B67" s="42" t="s">
        <v>164</v>
      </c>
      <c r="C67" s="32" t="s">
        <v>25</v>
      </c>
      <c r="D67" s="14">
        <f>D40+D18</f>
        <v>1691077</v>
      </c>
      <c r="E67" s="14">
        <f>E40+E18</f>
        <v>1682170</v>
      </c>
      <c r="F67" s="34">
        <f t="shared" si="1"/>
        <v>-8907</v>
      </c>
      <c r="G67" s="33">
        <f t="shared" si="2"/>
        <v>99.473294237932393</v>
      </c>
      <c r="H67" s="35"/>
      <c r="I67" s="2"/>
    </row>
    <row r="68" spans="1:9" ht="16.5" hidden="1" customHeight="1">
      <c r="A68" s="30" t="s">
        <v>94</v>
      </c>
      <c r="B68" s="42" t="s">
        <v>165</v>
      </c>
      <c r="C68" s="32" t="s">
        <v>25</v>
      </c>
      <c r="D68" s="14"/>
      <c r="E68" s="14"/>
      <c r="F68" s="78">
        <f t="shared" si="1"/>
        <v>0</v>
      </c>
      <c r="G68" s="32"/>
      <c r="H68" s="35"/>
      <c r="I68" s="2"/>
    </row>
    <row r="69" spans="1:9" ht="16.5" hidden="1" customHeight="1">
      <c r="A69" s="30"/>
      <c r="B69" s="36" t="s">
        <v>166</v>
      </c>
      <c r="C69" s="32" t="s">
        <v>25</v>
      </c>
      <c r="D69" s="14"/>
      <c r="E69" s="14"/>
      <c r="F69" s="78"/>
      <c r="G69" s="32"/>
      <c r="H69" s="35"/>
      <c r="I69" s="2"/>
    </row>
    <row r="70" spans="1:9" ht="15" hidden="1" customHeight="1">
      <c r="A70" s="30" t="s">
        <v>95</v>
      </c>
      <c r="B70" s="79" t="s">
        <v>167</v>
      </c>
      <c r="C70" s="32" t="s">
        <v>25</v>
      </c>
      <c r="D70" s="14">
        <f>D67-D69</f>
        <v>1691077</v>
      </c>
      <c r="E70" s="14">
        <f>E67</f>
        <v>1682170</v>
      </c>
      <c r="F70" s="78">
        <f t="shared" si="1"/>
        <v>-8907</v>
      </c>
      <c r="G70" s="32">
        <f t="shared" si="2"/>
        <v>99.473294237932393</v>
      </c>
      <c r="H70" s="35"/>
      <c r="I70" s="2"/>
    </row>
    <row r="71" spans="1:9" ht="15.75" customHeight="1">
      <c r="A71" s="166" t="s">
        <v>18</v>
      </c>
      <c r="B71" s="167" t="s">
        <v>22</v>
      </c>
      <c r="C71" s="32" t="s">
        <v>17</v>
      </c>
      <c r="D71" s="14">
        <v>325375</v>
      </c>
      <c r="E71" s="14">
        <v>337230</v>
      </c>
      <c r="F71" s="78">
        <f t="shared" si="1"/>
        <v>11855</v>
      </c>
      <c r="G71" s="32">
        <f t="shared" si="2"/>
        <v>103.64348828275067</v>
      </c>
      <c r="H71" s="80"/>
      <c r="I71" s="2">
        <v>34.700000000000003</v>
      </c>
    </row>
    <row r="72" spans="1:9" hidden="1">
      <c r="A72" s="166"/>
      <c r="B72" s="167"/>
      <c r="C72" s="32" t="s">
        <v>25</v>
      </c>
      <c r="D72" s="14">
        <v>55393</v>
      </c>
      <c r="E72" s="14">
        <v>59823</v>
      </c>
      <c r="F72" s="78">
        <f t="shared" si="1"/>
        <v>4430</v>
      </c>
      <c r="G72" s="32">
        <f t="shared" si="2"/>
        <v>107.99740039355153</v>
      </c>
      <c r="H72" s="80"/>
      <c r="I72" s="2"/>
    </row>
    <row r="73" spans="1:9" hidden="1">
      <c r="A73" s="30"/>
      <c r="B73" s="79"/>
      <c r="C73" s="32"/>
      <c r="D73" s="18"/>
      <c r="E73" s="14">
        <f>E72-E70</f>
        <v>-1622347</v>
      </c>
      <c r="F73" s="78">
        <f t="shared" si="1"/>
        <v>-1622347</v>
      </c>
      <c r="G73" s="32" t="e">
        <f t="shared" si="2"/>
        <v>#DIV/0!</v>
      </c>
      <c r="H73" s="80"/>
    </row>
    <row r="74" spans="1:9">
      <c r="A74" s="166" t="s">
        <v>19</v>
      </c>
      <c r="B74" s="167" t="s">
        <v>168</v>
      </c>
      <c r="C74" s="32" t="s">
        <v>17</v>
      </c>
      <c r="D74" s="14">
        <v>55393</v>
      </c>
      <c r="E74" s="14">
        <v>59823</v>
      </c>
      <c r="F74" s="78">
        <f t="shared" si="1"/>
        <v>4430</v>
      </c>
      <c r="G74" s="32">
        <f t="shared" si="2"/>
        <v>107.99740039355153</v>
      </c>
      <c r="H74" s="80"/>
    </row>
    <row r="75" spans="1:9" collapsed="1">
      <c r="A75" s="166"/>
      <c r="B75" s="167"/>
      <c r="C75" s="32" t="s">
        <v>24</v>
      </c>
      <c r="D75" s="81">
        <v>15</v>
      </c>
      <c r="E75" s="81">
        <v>15</v>
      </c>
      <c r="F75" s="78">
        <f t="shared" si="1"/>
        <v>0</v>
      </c>
      <c r="G75" s="32">
        <f t="shared" si="2"/>
        <v>100</v>
      </c>
      <c r="H75" s="35"/>
    </row>
    <row r="76" spans="1:9" ht="19.5" customHeight="1" thickBot="1">
      <c r="A76" s="83" t="s">
        <v>20</v>
      </c>
      <c r="B76" s="84" t="s">
        <v>23</v>
      </c>
      <c r="C76" s="85" t="s">
        <v>27</v>
      </c>
      <c r="D76" s="86">
        <v>5.27</v>
      </c>
      <c r="E76" s="86">
        <v>5.27</v>
      </c>
      <c r="F76" s="87">
        <f t="shared" si="1"/>
        <v>0</v>
      </c>
      <c r="G76" s="85">
        <v>100</v>
      </c>
      <c r="H76" s="88"/>
    </row>
    <row r="77" spans="1:9" ht="74.25" hidden="1" customHeight="1">
      <c r="A77" s="89"/>
      <c r="B77" s="90"/>
      <c r="C77" s="91"/>
      <c r="D77" s="147" t="s">
        <v>70</v>
      </c>
      <c r="E77" s="92" t="s">
        <v>71</v>
      </c>
      <c r="F77" s="93"/>
      <c r="G77" s="93"/>
      <c r="H77" s="94"/>
    </row>
    <row r="78" spans="1:9" ht="74.25" hidden="1" customHeight="1">
      <c r="A78" s="95" t="s">
        <v>13</v>
      </c>
      <c r="B78" s="168" t="s">
        <v>59</v>
      </c>
      <c r="C78" s="160"/>
      <c r="D78" s="192"/>
      <c r="E78" s="162"/>
      <c r="F78" s="164"/>
      <c r="G78" s="164"/>
      <c r="H78" s="155"/>
    </row>
    <row r="79" spans="1:9" ht="74.25" hidden="1" customHeight="1">
      <c r="A79" s="96"/>
      <c r="B79" s="169"/>
      <c r="C79" s="161"/>
      <c r="D79" s="193"/>
      <c r="E79" s="163"/>
      <c r="F79" s="165"/>
      <c r="G79" s="165"/>
      <c r="H79" s="156"/>
    </row>
    <row r="80" spans="1:9" hidden="1">
      <c r="A80" s="96"/>
      <c r="B80" s="11" t="s">
        <v>169</v>
      </c>
      <c r="C80" s="11" t="s">
        <v>25</v>
      </c>
      <c r="D80" s="97"/>
      <c r="E80" s="98">
        <v>914.5</v>
      </c>
      <c r="F80" s="99"/>
      <c r="G80" s="99"/>
      <c r="H80" s="100"/>
    </row>
    <row r="81" spans="1:11" hidden="1">
      <c r="A81" s="96"/>
      <c r="B81" s="11" t="s">
        <v>170</v>
      </c>
      <c r="C81" s="11" t="s">
        <v>25</v>
      </c>
      <c r="D81" s="101"/>
      <c r="E81" s="102">
        <f>10514.8-9838.1</f>
        <v>676.69999999999891</v>
      </c>
      <c r="F81" s="99"/>
      <c r="G81" s="99"/>
      <c r="H81" s="43"/>
      <c r="I81" s="76">
        <v>10514.8</v>
      </c>
      <c r="J81" s="76">
        <v>1156</v>
      </c>
    </row>
    <row r="82" spans="1:11" hidden="1">
      <c r="A82" s="96"/>
      <c r="B82" s="11" t="s">
        <v>171</v>
      </c>
      <c r="C82" s="11"/>
      <c r="D82" s="101"/>
      <c r="E82" s="102">
        <f>1156-1153.4+1196+9.3</f>
        <v>1207.8999999999999</v>
      </c>
      <c r="F82" s="99"/>
      <c r="G82" s="99"/>
      <c r="H82" s="43"/>
      <c r="I82" s="76">
        <v>3750</v>
      </c>
    </row>
    <row r="83" spans="1:11" hidden="1">
      <c r="A83" s="96"/>
      <c r="B83" s="36" t="s">
        <v>82</v>
      </c>
      <c r="C83" s="11"/>
      <c r="D83" s="101"/>
      <c r="E83" s="102">
        <f>5360+155.3</f>
        <v>5515.3</v>
      </c>
      <c r="F83" s="99"/>
      <c r="G83" s="99"/>
      <c r="H83" s="43"/>
      <c r="I83" s="103">
        <v>5360</v>
      </c>
    </row>
    <row r="84" spans="1:11" hidden="1">
      <c r="A84" s="96"/>
      <c r="B84" s="36" t="s">
        <v>172</v>
      </c>
      <c r="C84" s="11"/>
      <c r="D84" s="101"/>
      <c r="E84" s="102">
        <v>33273</v>
      </c>
      <c r="F84" s="99"/>
      <c r="G84" s="99"/>
      <c r="H84" s="43"/>
      <c r="I84" s="44">
        <v>33273</v>
      </c>
    </row>
    <row r="85" spans="1:11" hidden="1">
      <c r="A85" s="96"/>
      <c r="B85" s="36" t="s">
        <v>173</v>
      </c>
      <c r="C85" s="11"/>
      <c r="D85" s="101"/>
      <c r="E85" s="102">
        <f>3389</f>
        <v>3389</v>
      </c>
      <c r="F85" s="99"/>
      <c r="G85" s="99"/>
      <c r="H85" s="43"/>
      <c r="I85" s="44">
        <v>3389</v>
      </c>
      <c r="J85">
        <v>1196</v>
      </c>
    </row>
    <row r="86" spans="1:11" hidden="1">
      <c r="A86" s="96"/>
      <c r="B86" s="36" t="s">
        <v>7</v>
      </c>
      <c r="C86" s="11"/>
      <c r="D86" s="101"/>
      <c r="E86" s="102"/>
      <c r="F86" s="99"/>
      <c r="G86" s="99"/>
      <c r="H86" s="43"/>
      <c r="I86" s="54"/>
    </row>
    <row r="87" spans="1:11" hidden="1">
      <c r="A87" s="104"/>
      <c r="B87" s="11" t="s">
        <v>74</v>
      </c>
      <c r="C87" s="11" t="s">
        <v>25</v>
      </c>
      <c r="D87" s="101">
        <f>10041.2</f>
        <v>10041.200000000001</v>
      </c>
      <c r="E87" s="105">
        <v>11780.9</v>
      </c>
      <c r="F87" s="99"/>
      <c r="G87" s="99"/>
      <c r="H87" s="43"/>
    </row>
    <row r="88" spans="1:11" hidden="1">
      <c r="A88" s="58"/>
      <c r="B88" s="13" t="s">
        <v>77</v>
      </c>
      <c r="C88" s="11" t="s">
        <v>25</v>
      </c>
      <c r="D88" s="101"/>
      <c r="E88" s="106">
        <v>12748.3</v>
      </c>
      <c r="F88" s="107"/>
      <c r="G88" s="107"/>
      <c r="H88" s="108"/>
    </row>
    <row r="89" spans="1:11" hidden="1">
      <c r="A89" s="58"/>
      <c r="B89" s="13" t="s">
        <v>78</v>
      </c>
      <c r="C89" s="11" t="s">
        <v>25</v>
      </c>
      <c r="D89" s="101"/>
      <c r="E89" s="106">
        <f>2418.4</f>
        <v>2418.4</v>
      </c>
      <c r="F89" s="107"/>
      <c r="G89" s="107"/>
      <c r="H89" s="108"/>
      <c r="I89" s="2"/>
      <c r="J89" s="66">
        <v>118.3</v>
      </c>
      <c r="K89" s="66">
        <v>1177.9000000000001</v>
      </c>
    </row>
    <row r="90" spans="1:11" hidden="1">
      <c r="A90" s="58"/>
      <c r="B90" s="13" t="s">
        <v>174</v>
      </c>
      <c r="C90" s="11" t="s">
        <v>25</v>
      </c>
      <c r="D90" s="101"/>
      <c r="E90" s="105">
        <v>52</v>
      </c>
      <c r="F90" s="107"/>
      <c r="G90" s="107"/>
      <c r="H90" s="108"/>
    </row>
    <row r="91" spans="1:11" hidden="1">
      <c r="A91" s="58"/>
      <c r="B91" s="13" t="s">
        <v>106</v>
      </c>
      <c r="C91" s="11" t="s">
        <v>25</v>
      </c>
      <c r="D91" s="101"/>
      <c r="E91" s="106">
        <v>5037.7</v>
      </c>
      <c r="F91" s="107"/>
      <c r="G91" s="107"/>
      <c r="H91" s="108"/>
      <c r="I91" s="2"/>
    </row>
    <row r="92" spans="1:11" hidden="1">
      <c r="A92" s="96"/>
      <c r="B92" s="11" t="s">
        <v>110</v>
      </c>
      <c r="C92" s="11" t="s">
        <v>25</v>
      </c>
      <c r="D92" s="101"/>
      <c r="E92" s="109">
        <v>4992.2</v>
      </c>
      <c r="F92" s="99"/>
      <c r="G92" s="99"/>
      <c r="H92" s="100"/>
    </row>
    <row r="93" spans="1:11" hidden="1">
      <c r="A93" s="96"/>
      <c r="B93" s="11" t="s">
        <v>175</v>
      </c>
      <c r="C93" s="11" t="s">
        <v>25</v>
      </c>
      <c r="D93" s="101"/>
      <c r="E93" s="110">
        <f>950+108</f>
        <v>1058</v>
      </c>
      <c r="F93" s="99"/>
      <c r="G93" s="99"/>
      <c r="H93" s="43"/>
    </row>
    <row r="94" spans="1:11" hidden="1">
      <c r="A94" s="96"/>
      <c r="B94" s="11" t="s">
        <v>176</v>
      </c>
      <c r="C94" s="11"/>
      <c r="D94" s="101"/>
      <c r="E94" s="110">
        <f>2072</f>
        <v>2072</v>
      </c>
      <c r="F94" s="99"/>
      <c r="G94" s="99"/>
      <c r="H94" s="43"/>
    </row>
    <row r="95" spans="1:11" hidden="1">
      <c r="A95" s="96"/>
      <c r="B95" s="15" t="s">
        <v>177</v>
      </c>
      <c r="C95" s="11" t="s">
        <v>25</v>
      </c>
      <c r="D95" s="101">
        <v>2669.3</v>
      </c>
      <c r="E95" s="102"/>
      <c r="F95" s="99"/>
      <c r="G95" s="99"/>
      <c r="H95" s="43"/>
    </row>
    <row r="96" spans="1:11" hidden="1">
      <c r="A96" s="96"/>
      <c r="B96" s="11" t="s">
        <v>112</v>
      </c>
      <c r="C96" s="11" t="s">
        <v>25</v>
      </c>
      <c r="D96" s="101"/>
      <c r="E96" s="110">
        <f>3034+4337.4</f>
        <v>7371.4</v>
      </c>
      <c r="F96" s="99"/>
      <c r="G96" s="99"/>
      <c r="H96" s="100"/>
      <c r="I96" s="2"/>
    </row>
    <row r="97" spans="1:9" hidden="1">
      <c r="A97" s="96"/>
      <c r="B97" s="16" t="s">
        <v>57</v>
      </c>
      <c r="C97" s="11" t="s">
        <v>25</v>
      </c>
      <c r="D97" s="101"/>
      <c r="E97" s="111">
        <v>460.5</v>
      </c>
      <c r="F97" s="99"/>
      <c r="G97" s="99"/>
      <c r="H97" s="43"/>
      <c r="I97" s="4"/>
    </row>
    <row r="98" spans="1:9" hidden="1">
      <c r="A98" s="96"/>
      <c r="B98" s="11" t="s">
        <v>115</v>
      </c>
      <c r="C98" s="11" t="s">
        <v>25</v>
      </c>
      <c r="D98" s="101">
        <f>2282.1+4015.7</f>
        <v>6297.7999999999993</v>
      </c>
      <c r="E98" s="112"/>
      <c r="F98" s="99"/>
      <c r="G98" s="99"/>
      <c r="H98" s="43"/>
      <c r="I98" s="4"/>
    </row>
    <row r="99" spans="1:9" hidden="1">
      <c r="A99" s="96"/>
      <c r="B99" s="15" t="s">
        <v>62</v>
      </c>
      <c r="C99" s="11" t="s">
        <v>25</v>
      </c>
      <c r="D99" s="117">
        <f>53.6+11480.6</f>
        <v>11534.2</v>
      </c>
      <c r="E99" s="10">
        <v>2616.6</v>
      </c>
      <c r="F99" s="99"/>
      <c r="G99" s="99"/>
      <c r="H99" s="113"/>
      <c r="I99" s="114">
        <v>2616.6</v>
      </c>
    </row>
    <row r="100" spans="1:9" hidden="1">
      <c r="A100" s="96"/>
      <c r="B100" s="15" t="s">
        <v>63</v>
      </c>
      <c r="C100" s="11" t="s">
        <v>25</v>
      </c>
      <c r="D100" s="117">
        <f>41102.3+748.4+2.7</f>
        <v>41853.4</v>
      </c>
      <c r="E100" s="10"/>
      <c r="F100" s="99"/>
      <c r="G100" s="99"/>
      <c r="H100" s="43"/>
      <c r="I100" s="1"/>
    </row>
    <row r="101" spans="1:9" hidden="1">
      <c r="A101" s="96"/>
      <c r="B101" s="11" t="s">
        <v>178</v>
      </c>
      <c r="C101" s="11" t="s">
        <v>25</v>
      </c>
      <c r="D101" s="117">
        <v>415.9</v>
      </c>
      <c r="E101" s="115"/>
      <c r="F101" s="116"/>
      <c r="G101" s="116"/>
      <c r="H101" s="43"/>
      <c r="I101" s="1"/>
    </row>
    <row r="102" spans="1:9" hidden="1">
      <c r="A102" s="96"/>
      <c r="B102" s="17" t="s">
        <v>105</v>
      </c>
      <c r="C102" s="11" t="s">
        <v>25</v>
      </c>
      <c r="D102" s="117"/>
      <c r="E102" s="118">
        <v>100.8</v>
      </c>
      <c r="F102" s="16"/>
      <c r="G102" s="16"/>
      <c r="H102" s="43"/>
      <c r="I102" s="5"/>
    </row>
    <row r="103" spans="1:9" hidden="1">
      <c r="A103" s="96"/>
      <c r="B103" s="17" t="s">
        <v>179</v>
      </c>
      <c r="C103" s="11" t="s">
        <v>25</v>
      </c>
      <c r="D103" s="82">
        <v>128.69999999999999</v>
      </c>
      <c r="E103" s="115"/>
      <c r="F103" s="16"/>
      <c r="G103" s="16"/>
      <c r="H103" s="119"/>
      <c r="I103" s="1"/>
    </row>
    <row r="104" spans="1:9" hidden="1">
      <c r="A104" s="96"/>
      <c r="B104" s="11" t="s">
        <v>119</v>
      </c>
      <c r="C104" s="11" t="s">
        <v>25</v>
      </c>
      <c r="D104" s="101">
        <v>178.6</v>
      </c>
      <c r="E104" s="10"/>
      <c r="F104" s="11"/>
      <c r="G104" s="11"/>
      <c r="H104" s="43"/>
      <c r="I104" s="1"/>
    </row>
    <row r="105" spans="1:9" hidden="1">
      <c r="A105" s="96"/>
      <c r="B105" s="11" t="s">
        <v>103</v>
      </c>
      <c r="C105" s="11" t="s">
        <v>25</v>
      </c>
      <c r="D105" s="101"/>
      <c r="E105" s="118">
        <v>7184.2</v>
      </c>
      <c r="F105" s="11"/>
      <c r="G105" s="11"/>
      <c r="H105" s="43"/>
      <c r="I105" s="5"/>
    </row>
    <row r="106" spans="1:9" hidden="1">
      <c r="A106" s="96"/>
      <c r="B106" s="11" t="s">
        <v>69</v>
      </c>
      <c r="C106" s="11" t="s">
        <v>25</v>
      </c>
      <c r="D106" s="101"/>
      <c r="E106" s="111">
        <v>1012.6</v>
      </c>
      <c r="F106" s="11"/>
      <c r="G106" s="11"/>
      <c r="H106" s="43"/>
    </row>
    <row r="107" spans="1:9" hidden="1">
      <c r="A107" s="96"/>
      <c r="B107" s="11" t="s">
        <v>118</v>
      </c>
      <c r="C107" s="11" t="s">
        <v>25</v>
      </c>
      <c r="D107" s="101">
        <f>2215.6+739.4</f>
        <v>2955</v>
      </c>
      <c r="E107" s="111"/>
      <c r="F107" s="11"/>
      <c r="G107" s="11"/>
      <c r="H107" s="43"/>
    </row>
    <row r="108" spans="1:9" hidden="1">
      <c r="A108" s="96"/>
      <c r="B108" s="11" t="s">
        <v>76</v>
      </c>
      <c r="C108" s="11" t="s">
        <v>25</v>
      </c>
      <c r="D108" s="148">
        <f>2.5+14.3+4628.9+429.5+58.4+2.9+19.8+6.5+106.9+25.9</f>
        <v>5295.5999999999985</v>
      </c>
      <c r="E108" s="120"/>
      <c r="F108" s="11"/>
      <c r="G108" s="11"/>
      <c r="H108" s="43"/>
      <c r="I108" s="2"/>
    </row>
    <row r="109" spans="1:9" hidden="1">
      <c r="A109" s="96"/>
      <c r="B109" s="121" t="s">
        <v>21</v>
      </c>
      <c r="C109" s="11" t="s">
        <v>25</v>
      </c>
      <c r="D109" s="101">
        <f>4352.6+1039.4</f>
        <v>5392</v>
      </c>
      <c r="E109" s="111">
        <v>2781.6</v>
      </c>
      <c r="F109" s="11"/>
      <c r="G109" s="11"/>
      <c r="H109" s="43"/>
      <c r="I109" s="2"/>
    </row>
    <row r="110" spans="1:9" hidden="1">
      <c r="A110" s="96"/>
      <c r="B110" s="11" t="s">
        <v>68</v>
      </c>
      <c r="C110" s="11" t="s">
        <v>25</v>
      </c>
      <c r="D110" s="148">
        <v>6812.3</v>
      </c>
      <c r="E110" s="115"/>
      <c r="F110" s="11"/>
      <c r="G110" s="11"/>
      <c r="H110" s="43"/>
    </row>
    <row r="111" spans="1:9" hidden="1">
      <c r="A111" s="96"/>
      <c r="B111" s="11" t="s">
        <v>99</v>
      </c>
      <c r="C111" s="11" t="s">
        <v>25</v>
      </c>
      <c r="D111" s="148">
        <f>313.3+59.8+2.7</f>
        <v>375.8</v>
      </c>
      <c r="E111" s="10"/>
      <c r="F111" s="11"/>
      <c r="G111" s="11"/>
      <c r="H111" s="43"/>
    </row>
    <row r="112" spans="1:9" hidden="1">
      <c r="A112" s="96"/>
      <c r="B112" s="11" t="s">
        <v>180</v>
      </c>
      <c r="C112" s="11" t="s">
        <v>25</v>
      </c>
      <c r="D112" s="82">
        <f>88.6</f>
        <v>88.6</v>
      </c>
      <c r="E112" s="115"/>
      <c r="F112" s="11"/>
      <c r="G112" s="11"/>
      <c r="H112" s="43"/>
    </row>
    <row r="113" spans="1:9" hidden="1">
      <c r="A113" s="96"/>
      <c r="B113" s="15" t="s">
        <v>75</v>
      </c>
      <c r="C113" s="11" t="s">
        <v>25</v>
      </c>
      <c r="D113" s="82">
        <f>1531+1338.2+56480.8+31+11+71.4+420.5+650.6+11.5+62.5</f>
        <v>60608.5</v>
      </c>
      <c r="E113" s="122"/>
      <c r="F113" s="11"/>
      <c r="G113" s="11"/>
      <c r="H113" s="100"/>
    </row>
    <row r="114" spans="1:9" hidden="1">
      <c r="A114" s="96"/>
      <c r="B114" s="15" t="s">
        <v>64</v>
      </c>
      <c r="C114" s="11" t="s">
        <v>25</v>
      </c>
      <c r="D114" s="148">
        <f>186.4+308</f>
        <v>494.4</v>
      </c>
      <c r="E114" s="122"/>
      <c r="F114" s="11"/>
      <c r="G114" s="11"/>
      <c r="H114" s="100"/>
    </row>
    <row r="115" spans="1:9" hidden="1">
      <c r="A115" s="95"/>
      <c r="B115" s="11" t="s">
        <v>97</v>
      </c>
      <c r="C115" s="11" t="s">
        <v>25</v>
      </c>
      <c r="D115" s="117">
        <f>44.6+6867.8</f>
        <v>6912.4000000000005</v>
      </c>
      <c r="E115" s="115"/>
      <c r="F115" s="11"/>
      <c r="G115" s="11"/>
      <c r="H115" s="113"/>
    </row>
    <row r="116" spans="1:9" hidden="1">
      <c r="A116" s="95"/>
      <c r="B116" s="11" t="s">
        <v>117</v>
      </c>
      <c r="C116" s="11" t="s">
        <v>25</v>
      </c>
      <c r="D116" s="101">
        <v>108.1</v>
      </c>
      <c r="E116" s="112"/>
      <c r="F116" s="11"/>
      <c r="G116" s="11"/>
      <c r="H116" s="113"/>
    </row>
    <row r="117" spans="1:9" hidden="1">
      <c r="A117" s="95"/>
      <c r="B117" s="11" t="s">
        <v>111</v>
      </c>
      <c r="C117" s="11" t="s">
        <v>25</v>
      </c>
      <c r="D117" s="101">
        <f>47770.2+89.3+1039.6</f>
        <v>48899.1</v>
      </c>
      <c r="E117" s="115"/>
      <c r="F117" s="11"/>
      <c r="G117" s="11"/>
      <c r="H117" s="43"/>
    </row>
    <row r="118" spans="1:9" hidden="1">
      <c r="A118" s="95"/>
      <c r="B118" s="11" t="s">
        <v>98</v>
      </c>
      <c r="C118" s="11" t="s">
        <v>25</v>
      </c>
      <c r="D118" s="117">
        <v>3693.5</v>
      </c>
      <c r="E118" s="115"/>
      <c r="F118" s="11"/>
      <c r="G118" s="11"/>
      <c r="H118" s="43"/>
    </row>
    <row r="119" spans="1:9" hidden="1">
      <c r="A119" s="95"/>
      <c r="B119" s="11" t="s">
        <v>100</v>
      </c>
      <c r="C119" s="11" t="s">
        <v>25</v>
      </c>
      <c r="D119" s="117">
        <v>7175.5</v>
      </c>
      <c r="E119" s="115"/>
      <c r="F119" s="11"/>
      <c r="G119" s="11"/>
      <c r="H119" s="43"/>
    </row>
    <row r="120" spans="1:9" hidden="1">
      <c r="A120" s="95"/>
      <c r="B120" s="11" t="s">
        <v>181</v>
      </c>
      <c r="C120" s="11" t="s">
        <v>25</v>
      </c>
      <c r="D120" s="101">
        <v>1071.4000000000001</v>
      </c>
      <c r="E120" s="115"/>
      <c r="F120" s="11"/>
      <c r="G120" s="11"/>
      <c r="H120" s="43"/>
    </row>
    <row r="121" spans="1:9" hidden="1">
      <c r="A121" s="95"/>
      <c r="B121" s="11" t="s">
        <v>116</v>
      </c>
      <c r="C121" s="11" t="s">
        <v>25</v>
      </c>
      <c r="D121" s="101">
        <f>475.5+1406.1</f>
        <v>1881.6</v>
      </c>
      <c r="E121" s="115"/>
      <c r="F121" s="11"/>
      <c r="G121" s="11"/>
      <c r="H121" s="43"/>
    </row>
    <row r="122" spans="1:9" hidden="1">
      <c r="A122" s="95"/>
      <c r="B122" s="11" t="s">
        <v>73</v>
      </c>
      <c r="C122" s="11" t="s">
        <v>25</v>
      </c>
      <c r="D122" s="101"/>
      <c r="E122" s="120">
        <v>4158.7</v>
      </c>
      <c r="F122" s="11"/>
      <c r="G122" s="11"/>
      <c r="H122" s="43"/>
    </row>
    <row r="123" spans="1:9" hidden="1">
      <c r="A123" s="95"/>
      <c r="B123" s="11" t="s">
        <v>113</v>
      </c>
      <c r="C123" s="11" t="s">
        <v>25</v>
      </c>
      <c r="D123" s="101">
        <v>14</v>
      </c>
      <c r="E123" s="115"/>
      <c r="F123" s="11"/>
      <c r="G123" s="11"/>
      <c r="H123" s="43"/>
    </row>
    <row r="124" spans="1:9" hidden="1">
      <c r="A124" s="95"/>
      <c r="B124" s="11" t="s">
        <v>104</v>
      </c>
      <c r="C124" s="11" t="s">
        <v>25</v>
      </c>
      <c r="D124" s="101"/>
      <c r="E124" s="123">
        <v>4211.3999999999996</v>
      </c>
      <c r="F124" s="11"/>
      <c r="G124" s="11"/>
      <c r="H124" s="43"/>
      <c r="I124" s="3"/>
    </row>
    <row r="125" spans="1:9" hidden="1">
      <c r="A125" s="95"/>
      <c r="B125" s="11" t="s">
        <v>102</v>
      </c>
      <c r="C125" s="11" t="s">
        <v>25</v>
      </c>
      <c r="D125" s="101"/>
      <c r="E125" s="124">
        <f>15939+1113.8</f>
        <v>17052.8</v>
      </c>
      <c r="F125" s="11"/>
      <c r="G125" s="11"/>
      <c r="H125" s="43"/>
      <c r="I125" s="1"/>
    </row>
    <row r="126" spans="1:9" hidden="1">
      <c r="A126" s="95"/>
      <c r="B126" s="11" t="s">
        <v>182</v>
      </c>
      <c r="C126" s="11" t="s">
        <v>25</v>
      </c>
      <c r="D126" s="101"/>
      <c r="E126" s="110">
        <v>1339.3</v>
      </c>
      <c r="F126" s="11"/>
      <c r="G126" s="11"/>
      <c r="H126" s="43"/>
      <c r="I126" s="1"/>
    </row>
    <row r="127" spans="1:9" hidden="1">
      <c r="A127" s="95"/>
      <c r="B127" s="11" t="s">
        <v>183</v>
      </c>
      <c r="C127" s="11" t="s">
        <v>25</v>
      </c>
      <c r="D127" s="101"/>
      <c r="E127" s="110">
        <f>1205+600.2</f>
        <v>1805.2</v>
      </c>
      <c r="F127" s="11"/>
      <c r="G127" s="11"/>
      <c r="H127" s="43"/>
      <c r="I127" s="1"/>
    </row>
    <row r="128" spans="1:9" hidden="1">
      <c r="A128" s="95"/>
      <c r="B128" s="11" t="s">
        <v>120</v>
      </c>
      <c r="C128" s="11" t="s">
        <v>25</v>
      </c>
      <c r="D128" s="101">
        <v>12934.4</v>
      </c>
      <c r="E128" s="102"/>
      <c r="F128" s="11"/>
      <c r="G128" s="11"/>
      <c r="H128" s="43"/>
      <c r="I128" s="7">
        <f>E130+E109+E105+E97+E42+E27+E81+E84</f>
        <v>684702.1</v>
      </c>
    </row>
    <row r="129" spans="1:9" hidden="1">
      <c r="A129" s="95"/>
      <c r="B129" s="11" t="s">
        <v>114</v>
      </c>
      <c r="C129" s="11" t="s">
        <v>25</v>
      </c>
      <c r="D129" s="101"/>
      <c r="E129" s="125">
        <f>4657.3</f>
        <v>4657.3</v>
      </c>
      <c r="F129" s="11"/>
      <c r="G129" s="11"/>
      <c r="H129" s="43"/>
      <c r="I129" s="9">
        <f>E106+E132+E85+E43+E28+E82</f>
        <v>69600.599999999991</v>
      </c>
    </row>
    <row r="130" spans="1:9" hidden="1">
      <c r="A130" s="95"/>
      <c r="B130" s="11" t="s">
        <v>107</v>
      </c>
      <c r="C130" s="11" t="s">
        <v>25</v>
      </c>
      <c r="D130" s="101"/>
      <c r="E130" s="123">
        <v>4008.5</v>
      </c>
      <c r="F130" s="11"/>
      <c r="G130" s="11"/>
      <c r="H130" s="43"/>
      <c r="I130" s="3"/>
    </row>
    <row r="131" spans="1:9" hidden="1">
      <c r="A131" s="95"/>
      <c r="B131" s="11" t="s">
        <v>108</v>
      </c>
      <c r="C131" s="11" t="s">
        <v>25</v>
      </c>
      <c r="D131" s="101"/>
      <c r="E131" s="125"/>
      <c r="F131" s="11"/>
      <c r="G131" s="11"/>
      <c r="H131" s="43"/>
      <c r="I131" s="6"/>
    </row>
    <row r="132" spans="1:9" hidden="1">
      <c r="A132" s="95"/>
      <c r="B132" s="11" t="s">
        <v>109</v>
      </c>
      <c r="C132" s="11" t="s">
        <v>25</v>
      </c>
      <c r="D132" s="101"/>
      <c r="E132" s="123">
        <v>366.5</v>
      </c>
      <c r="F132" s="11"/>
      <c r="G132" s="17"/>
      <c r="H132" s="43"/>
      <c r="I132" s="6"/>
    </row>
    <row r="133" spans="1:9" hidden="1">
      <c r="A133" s="95"/>
      <c r="B133" s="11"/>
      <c r="C133" s="11"/>
      <c r="D133" s="101"/>
      <c r="E133" s="125">
        <v>32000</v>
      </c>
      <c r="F133" s="11"/>
      <c r="G133" s="17"/>
      <c r="H133" s="43"/>
      <c r="I133" s="6"/>
    </row>
    <row r="134" spans="1:9" hidden="1">
      <c r="A134" s="95"/>
      <c r="B134" s="11" t="s">
        <v>184</v>
      </c>
      <c r="C134" s="11" t="s">
        <v>25</v>
      </c>
      <c r="D134" s="101"/>
      <c r="E134" s="123">
        <v>134</v>
      </c>
      <c r="F134" s="11"/>
      <c r="G134" s="11"/>
      <c r="H134" s="43"/>
      <c r="I134" s="3"/>
    </row>
    <row r="135" spans="1:9" hidden="1">
      <c r="A135" s="95"/>
      <c r="B135" s="11" t="s">
        <v>121</v>
      </c>
      <c r="C135" s="11" t="s">
        <v>25</v>
      </c>
      <c r="D135" s="101"/>
      <c r="E135" s="123">
        <v>350</v>
      </c>
      <c r="F135" s="11"/>
      <c r="G135" s="11"/>
      <c r="H135" s="43"/>
      <c r="I135" s="2"/>
    </row>
    <row r="136" spans="1:9" hidden="1">
      <c r="A136" s="95"/>
      <c r="B136" s="16" t="s">
        <v>60</v>
      </c>
      <c r="C136" s="11" t="s">
        <v>25</v>
      </c>
      <c r="D136" s="105">
        <f>SUM(D80:D135)</f>
        <v>237831.3</v>
      </c>
      <c r="E136" s="126">
        <f>SUM(E80:E135)</f>
        <v>176747.29999999996</v>
      </c>
      <c r="F136" s="11"/>
      <c r="G136" s="11"/>
      <c r="H136" s="43"/>
      <c r="I136" s="2"/>
    </row>
    <row r="137" spans="1:9" hidden="1">
      <c r="A137" s="95"/>
      <c r="B137" s="16" t="s">
        <v>72</v>
      </c>
      <c r="C137" s="11" t="s">
        <v>25</v>
      </c>
      <c r="D137" s="105"/>
      <c r="E137" s="126">
        <f>D136-E136</f>
        <v>61084.000000000029</v>
      </c>
      <c r="F137" s="11"/>
      <c r="G137" s="36"/>
      <c r="H137" s="43"/>
      <c r="I137" s="2"/>
    </row>
    <row r="138" spans="1:9" ht="13.5" hidden="1" thickBot="1">
      <c r="A138" s="127"/>
      <c r="B138" s="128" t="s">
        <v>61</v>
      </c>
      <c r="C138" s="128" t="s">
        <v>25</v>
      </c>
      <c r="D138" s="149"/>
      <c r="E138" s="129">
        <f>E137+E73</f>
        <v>-1561263</v>
      </c>
      <c r="F138" s="130"/>
      <c r="G138" s="130"/>
      <c r="H138" s="131"/>
      <c r="I138" s="2"/>
    </row>
    <row r="139" spans="1:9">
      <c r="A139" s="132"/>
      <c r="B139" s="133"/>
      <c r="C139" s="133"/>
      <c r="D139" s="150"/>
      <c r="E139" s="134"/>
      <c r="F139" s="134"/>
      <c r="G139" s="133"/>
      <c r="H139" s="132"/>
    </row>
    <row r="140" spans="1:9">
      <c r="A140" s="132"/>
      <c r="B140" s="133"/>
      <c r="C140" s="133"/>
      <c r="D140" s="150"/>
      <c r="E140" s="134"/>
      <c r="F140" s="134"/>
      <c r="G140" s="134"/>
      <c r="H140" s="132"/>
    </row>
    <row r="141" spans="1:9" s="135" customFormat="1" ht="15.75" customHeight="1">
      <c r="A141" s="157" t="s">
        <v>185</v>
      </c>
      <c r="B141" s="157"/>
      <c r="C141" s="157"/>
      <c r="D141" s="157"/>
      <c r="E141" s="157"/>
      <c r="F141" s="157"/>
      <c r="G141" s="157"/>
      <c r="H141" s="157"/>
    </row>
    <row r="142" spans="1:9" s="135" customFormat="1" ht="16.5" customHeight="1">
      <c r="A142" s="157" t="s">
        <v>186</v>
      </c>
      <c r="B142" s="157"/>
      <c r="C142" s="157"/>
      <c r="D142" s="157"/>
      <c r="E142" s="157"/>
      <c r="F142" s="157"/>
      <c r="G142" s="157"/>
      <c r="H142" s="157"/>
    </row>
    <row r="143" spans="1:9" s="135" customFormat="1" ht="18.75" customHeight="1">
      <c r="A143" s="157" t="s">
        <v>187</v>
      </c>
      <c r="B143" s="157"/>
      <c r="C143" s="157"/>
      <c r="D143" s="157"/>
      <c r="E143" s="157"/>
      <c r="F143" s="157"/>
      <c r="G143" s="157"/>
      <c r="H143" s="157"/>
    </row>
    <row r="144" spans="1:9" s="135" customFormat="1" ht="18.75" customHeight="1">
      <c r="A144" s="157" t="s">
        <v>188</v>
      </c>
      <c r="B144" s="157"/>
      <c r="C144" s="157"/>
      <c r="D144" s="157"/>
      <c r="E144" s="157"/>
      <c r="F144" s="157"/>
      <c r="G144" s="157"/>
      <c r="H144" s="157"/>
    </row>
    <row r="145" spans="1:8" s="135" customFormat="1" ht="18" customHeight="1">
      <c r="A145" s="157" t="s">
        <v>189</v>
      </c>
      <c r="B145" s="157"/>
      <c r="C145" s="157"/>
      <c r="D145" s="157"/>
      <c r="E145" s="157"/>
      <c r="F145" s="157"/>
      <c r="G145" s="157"/>
      <c r="H145" s="157"/>
    </row>
    <row r="146" spans="1:8" s="135" customFormat="1" ht="21.75" customHeight="1">
      <c r="A146" s="142"/>
      <c r="B146" s="142"/>
      <c r="C146" s="142"/>
      <c r="D146" s="151"/>
      <c r="E146" s="142"/>
      <c r="F146" s="142"/>
      <c r="G146" s="142"/>
      <c r="H146" s="142"/>
    </row>
    <row r="147" spans="1:8" s="136" customFormat="1" ht="24" customHeight="1">
      <c r="A147" s="159" t="s">
        <v>190</v>
      </c>
      <c r="B147" s="159"/>
      <c r="C147" s="159"/>
      <c r="D147" s="159"/>
      <c r="E147" s="159"/>
      <c r="F147" s="159"/>
      <c r="G147" s="159"/>
      <c r="H147" s="159"/>
    </row>
    <row r="148" spans="1:8" s="136" customFormat="1" ht="36" customHeight="1">
      <c r="A148" s="191" t="s">
        <v>191</v>
      </c>
      <c r="B148" s="191"/>
      <c r="C148" s="191"/>
      <c r="D148" s="191"/>
      <c r="E148" s="191"/>
      <c r="F148" s="191"/>
      <c r="G148" s="191"/>
      <c r="H148" s="191"/>
    </row>
    <row r="149" spans="1:8" s="135" customFormat="1" ht="18.75">
      <c r="A149" s="142" t="s">
        <v>192</v>
      </c>
      <c r="B149" s="137"/>
      <c r="C149" s="137"/>
      <c r="D149" s="152"/>
      <c r="E149" s="137"/>
      <c r="F149" s="137"/>
      <c r="G149" s="137"/>
      <c r="H149" s="137"/>
    </row>
    <row r="150" spans="1:8" s="135" customFormat="1" ht="18.75">
      <c r="A150" s="158"/>
      <c r="B150" s="157"/>
      <c r="C150" s="157"/>
      <c r="D150" s="157"/>
      <c r="E150" s="157"/>
      <c r="F150" s="157"/>
      <c r="G150" s="157"/>
      <c r="H150" s="157"/>
    </row>
    <row r="151" spans="1:8" ht="15.75">
      <c r="A151" s="138" t="s">
        <v>193</v>
      </c>
      <c r="B151" s="139"/>
      <c r="C151" s="139"/>
      <c r="D151" s="153"/>
      <c r="E151" s="139"/>
      <c r="F151" s="139"/>
      <c r="G151" s="139"/>
      <c r="H151" s="139"/>
    </row>
  </sheetData>
  <mergeCells count="37">
    <mergeCell ref="A147:H147"/>
    <mergeCell ref="A148:H148"/>
    <mergeCell ref="A150:H150"/>
    <mergeCell ref="H78:H79"/>
    <mergeCell ref="A141:H141"/>
    <mergeCell ref="A142:H142"/>
    <mergeCell ref="A143:H143"/>
    <mergeCell ref="A144:H144"/>
    <mergeCell ref="A145:H145"/>
    <mergeCell ref="B78:B79"/>
    <mergeCell ref="C78:C79"/>
    <mergeCell ref="D78:D79"/>
    <mergeCell ref="E78:E79"/>
    <mergeCell ref="F78:F79"/>
    <mergeCell ref="G78:G79"/>
    <mergeCell ref="A71:A72"/>
    <mergeCell ref="B71:B72"/>
    <mergeCell ref="A74:A75"/>
    <mergeCell ref="B74:B75"/>
    <mergeCell ref="A9:H9"/>
    <mergeCell ref="A10:H10"/>
    <mergeCell ref="A11:H11"/>
    <mergeCell ref="A12:H12"/>
    <mergeCell ref="A13:A16"/>
    <mergeCell ref="B13:B16"/>
    <mergeCell ref="G13:G16"/>
    <mergeCell ref="H13:H16"/>
    <mergeCell ref="F14:F16"/>
    <mergeCell ref="C13:C16"/>
    <mergeCell ref="D13:D16"/>
    <mergeCell ref="E13:E16"/>
    <mergeCell ref="A8:H8"/>
    <mergeCell ref="F1:H1"/>
    <mergeCell ref="A2:H2"/>
    <mergeCell ref="A3:H3"/>
    <mergeCell ref="A5:H5"/>
    <mergeCell ref="A7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исполнения тар.сметы за 1 п2017</vt:lpstr>
    </vt:vector>
  </TitlesOfParts>
  <Company>АО ТАТЭК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Недушенко</dc:creator>
  <cp:lastModifiedBy>User</cp:lastModifiedBy>
  <cp:lastPrinted>2018-03-03T07:54:47Z</cp:lastPrinted>
  <dcterms:created xsi:type="dcterms:W3CDTF">2001-11-28T06:38:19Z</dcterms:created>
  <dcterms:modified xsi:type="dcterms:W3CDTF">2018-11-20T05:45:11Z</dcterms:modified>
</cp:coreProperties>
</file>